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ce\Utenti\Baldetti\AA STIPENDI COMPLESSIVO\AA STIPENDI Eco\2024\"/>
    </mc:Choice>
  </mc:AlternateContent>
  <xr:revisionPtr revIDLastSave="0" documentId="8_{271750A9-E428-45A5-BEAF-DF87F05023A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iff.pers.2018-corrente" sheetId="2" r:id="rId1"/>
    <sheet name="Calcolo capacità 2024" sheetId="1" r:id="rId2"/>
    <sheet name="Calcolo capacità 2025" sheetId="5" r:id="rId3"/>
    <sheet name="Calcolo capacità 2026" sheetId="7" r:id="rId4"/>
    <sheet name="Assunzioni TI dal 2020 - 2024" sheetId="3" r:id="rId5"/>
    <sheet name="Assunzioni TI dal 2020 - 2025" sheetId="6" r:id="rId6"/>
    <sheet name="Assunzioni TI dal 2020 - 2026" sheetId="8" r:id="rId7"/>
    <sheet name="Tabelle" sheetId="4" r:id="rId8"/>
  </sheets>
  <externalReferences>
    <externalReference r:id="rId9"/>
    <externalReference r:id="rId10"/>
  </externalReferences>
  <definedNames>
    <definedName name="aa">#REF!</definedName>
    <definedName name="_xlnm.Print_Area" localSheetId="1">'Calcolo capacità 2024'!$A$1:$I$66</definedName>
    <definedName name="_xlnm.Print_Area" localSheetId="2">'Calcolo capacità 2025'!$A$1:$I$66</definedName>
    <definedName name="_xlnm.Print_Area" localSheetId="3">'Calcolo capacità 2026'!$A$1:$I$66</definedName>
    <definedName name="CODI_ISTITUZIONE">#REF!</definedName>
    <definedName name="CODI_ISTITUZIONE2">#REF!</definedName>
    <definedName name="DESC_ISTITUZIONE">#REF!</definedName>
    <definedName name="DESC_ISTITUZIONE2">#REF!</definedName>
    <definedName name="IIS_Mensile">#REF!</definedName>
    <definedName name="Indennità_qualifica">#REF!</definedName>
    <definedName name="Indennità_vigilanza">#REF!</definedName>
    <definedName name="IndennitàQualif_Mensile">#REF!</definedName>
    <definedName name="PosizioneEconomica">'[1]Posizione Economica'!$A$1:$B$17</definedName>
    <definedName name="Salario_Individuale">#REF!</definedName>
    <definedName name="SalarioIndivid_Mensile">#REF!</definedName>
    <definedName name="Scatti">#REF!</definedName>
    <definedName name="ScattiMensile">#REF!</definedName>
    <definedName name="StipendioMensile">#REF!</definedName>
    <definedName name="TOTMESE">[2]Gennaio!$B$35:$H$35</definedName>
  </definedNames>
  <calcPr calcId="191029"/>
</workbook>
</file>

<file path=xl/calcChain.xml><?xml version="1.0" encoding="utf-8"?>
<calcChain xmlns="http://schemas.openxmlformats.org/spreadsheetml/2006/main">
  <c r="C30" i="1" l="1"/>
  <c r="D31" i="3"/>
  <c r="D29" i="3"/>
  <c r="G23" i="3"/>
  <c r="D23" i="3" s="1"/>
  <c r="G25" i="3"/>
  <c r="C25" i="3"/>
  <c r="C23" i="3"/>
  <c r="C38" i="1"/>
  <c r="C27" i="3"/>
  <c r="E7" i="4"/>
  <c r="E4" i="4"/>
  <c r="E9" i="4"/>
  <c r="E8" i="4"/>
  <c r="E6" i="4"/>
  <c r="D33" i="3" l="1"/>
  <c r="D25" i="3"/>
  <c r="D27" i="3" s="1"/>
  <c r="F13" i="5"/>
  <c r="G13" i="5"/>
  <c r="F14" i="5"/>
  <c r="G14" i="5"/>
  <c r="F15" i="5"/>
  <c r="G15" i="5"/>
  <c r="H25" i="5" l="1"/>
  <c r="H24" i="5"/>
  <c r="D9" i="4" l="1"/>
  <c r="C9" i="4"/>
  <c r="D8" i="4"/>
  <c r="C8" i="4"/>
  <c r="D7" i="4"/>
  <c r="C7" i="4"/>
  <c r="D6" i="4"/>
  <c r="C6" i="4"/>
  <c r="C57" i="1" l="1"/>
  <c r="C59" i="1" s="1"/>
  <c r="G31" i="7"/>
  <c r="G31" i="5"/>
  <c r="C55" i="5" s="1"/>
  <c r="A29" i="7" l="1"/>
  <c r="B29" i="7"/>
  <c r="C29" i="7"/>
  <c r="A29" i="5"/>
  <c r="B29" i="5"/>
  <c r="C29" i="5"/>
  <c r="A26" i="5"/>
  <c r="A27" i="5"/>
  <c r="A28" i="5"/>
  <c r="F12" i="7" l="1"/>
  <c r="G12" i="7"/>
  <c r="H12" i="7"/>
  <c r="F13" i="7"/>
  <c r="G13" i="7"/>
  <c r="H13" i="7"/>
  <c r="F14" i="7"/>
  <c r="G14" i="7"/>
  <c r="H14" i="7"/>
  <c r="F15" i="7"/>
  <c r="G15" i="7"/>
  <c r="H15" i="7"/>
  <c r="H24" i="7"/>
  <c r="H25" i="7"/>
  <c r="H26" i="7"/>
  <c r="H27" i="7"/>
  <c r="H28" i="7"/>
  <c r="H29" i="7"/>
  <c r="H30" i="7"/>
  <c r="H26" i="5"/>
  <c r="H27" i="5"/>
  <c r="H28" i="5"/>
  <c r="H29" i="5"/>
  <c r="H30" i="5"/>
  <c r="H31" i="5" s="1"/>
  <c r="F12" i="5"/>
  <c r="G12" i="5"/>
  <c r="H12" i="5"/>
  <c r="H13" i="5"/>
  <c r="H14" i="5"/>
  <c r="H15" i="5"/>
  <c r="H31" i="7" l="1"/>
  <c r="H31" i="1"/>
  <c r="G31" i="1"/>
  <c r="C25" i="1" l="1"/>
  <c r="C25" i="7"/>
  <c r="C71" i="7" s="1"/>
  <c r="C55" i="7"/>
  <c r="C25" i="5"/>
  <c r="C71" i="5" s="1"/>
  <c r="C57" i="5"/>
  <c r="G77" i="7"/>
  <c r="G77" i="5"/>
  <c r="K21" i="8"/>
  <c r="G21" i="8"/>
  <c r="K20" i="8"/>
  <c r="G20" i="8"/>
  <c r="K19" i="8"/>
  <c r="G19" i="8"/>
  <c r="K18" i="8"/>
  <c r="G18" i="8"/>
  <c r="K17" i="8"/>
  <c r="G17" i="8"/>
  <c r="K16" i="8"/>
  <c r="G16" i="8"/>
  <c r="K15" i="8"/>
  <c r="G15" i="8"/>
  <c r="K14" i="8"/>
  <c r="G14" i="8"/>
  <c r="K13" i="8"/>
  <c r="G13" i="8"/>
  <c r="K12" i="8"/>
  <c r="G12" i="8"/>
  <c r="K11" i="8"/>
  <c r="G11" i="8"/>
  <c r="K10" i="8"/>
  <c r="G10" i="8"/>
  <c r="K9" i="8"/>
  <c r="G9" i="8"/>
  <c r="K8" i="8"/>
  <c r="G8" i="8"/>
  <c r="K7" i="8"/>
  <c r="G7" i="8"/>
  <c r="K6" i="8"/>
  <c r="G6" i="8"/>
  <c r="C90" i="7"/>
  <c r="C77" i="7"/>
  <c r="C86" i="7"/>
  <c r="C78" i="7"/>
  <c r="C87" i="7" s="1"/>
  <c r="H16" i="7"/>
  <c r="B28" i="7" s="1"/>
  <c r="C72" i="7" s="1"/>
  <c r="G16" i="7"/>
  <c r="B27" i="7" s="1"/>
  <c r="F16" i="7"/>
  <c r="B26" i="7" s="1"/>
  <c r="K21" i="6"/>
  <c r="G21" i="6"/>
  <c r="K20" i="6"/>
  <c r="G20" i="6"/>
  <c r="K19" i="6"/>
  <c r="G19" i="6"/>
  <c r="K18" i="6"/>
  <c r="G18" i="6"/>
  <c r="K17" i="6"/>
  <c r="G17" i="6"/>
  <c r="K16" i="6"/>
  <c r="G16" i="6"/>
  <c r="K15" i="6"/>
  <c r="G15" i="6"/>
  <c r="K14" i="6"/>
  <c r="G14" i="6"/>
  <c r="K13" i="6"/>
  <c r="G13" i="6"/>
  <c r="K12" i="6"/>
  <c r="G12" i="6"/>
  <c r="K11" i="6"/>
  <c r="G11" i="6"/>
  <c r="K10" i="6"/>
  <c r="G10" i="6"/>
  <c r="K9" i="6"/>
  <c r="G9" i="6"/>
  <c r="K8" i="6"/>
  <c r="G8" i="6"/>
  <c r="K7" i="6"/>
  <c r="G7" i="6"/>
  <c r="K6" i="6"/>
  <c r="G6" i="6"/>
  <c r="C90" i="5"/>
  <c r="C77" i="5"/>
  <c r="C86" i="5"/>
  <c r="C78" i="5"/>
  <c r="C87" i="5" s="1"/>
  <c r="H16" i="5"/>
  <c r="G16" i="5"/>
  <c r="F16" i="5"/>
  <c r="C79" i="7" l="1"/>
  <c r="C26" i="7"/>
  <c r="C38" i="7" s="1"/>
  <c r="C73" i="7"/>
  <c r="C88" i="7"/>
  <c r="G17" i="7"/>
  <c r="C37" i="7"/>
  <c r="C57" i="7"/>
  <c r="C59" i="7" s="1"/>
  <c r="C79" i="5"/>
  <c r="C88" i="5"/>
  <c r="G17" i="5"/>
  <c r="C37" i="5"/>
  <c r="C59" i="5"/>
  <c r="C30" i="7" l="1"/>
  <c r="C89" i="7" s="1"/>
  <c r="C39" i="7"/>
  <c r="C64" i="7"/>
  <c r="K21" i="3" l="1"/>
  <c r="G21" i="3"/>
  <c r="K20" i="3"/>
  <c r="G20" i="3"/>
  <c r="K19" i="3"/>
  <c r="G19" i="3"/>
  <c r="K18" i="3"/>
  <c r="G18" i="3"/>
  <c r="K17" i="3"/>
  <c r="G17" i="3"/>
  <c r="K16" i="3"/>
  <c r="G16" i="3"/>
  <c r="G6" i="3"/>
  <c r="G7" i="3"/>
  <c r="H6" i="3"/>
  <c r="I6" i="3"/>
  <c r="K7" i="3"/>
  <c r="G8" i="3"/>
  <c r="H8" i="3"/>
  <c r="K8" i="3"/>
  <c r="G9" i="3"/>
  <c r="H9" i="3"/>
  <c r="I9" i="3"/>
  <c r="K9" i="3"/>
  <c r="G10" i="3"/>
  <c r="K10" i="3"/>
  <c r="G11" i="3"/>
  <c r="K11" i="3"/>
  <c r="G12" i="3"/>
  <c r="K12" i="3"/>
  <c r="G13" i="3"/>
  <c r="K13" i="3"/>
  <c r="G14" i="3"/>
  <c r="H14" i="3"/>
  <c r="K14" i="3"/>
  <c r="G15" i="3"/>
  <c r="K15" i="3"/>
  <c r="K6" i="3"/>
  <c r="I21" i="3"/>
  <c r="H18" i="3"/>
  <c r="I13" i="3"/>
  <c r="I7" i="3"/>
  <c r="H11" i="3"/>
  <c r="C4" i="4"/>
  <c r="C3" i="4"/>
  <c r="C2" i="4"/>
  <c r="H12" i="3" l="1"/>
  <c r="H17" i="3"/>
  <c r="I11" i="6"/>
  <c r="I9" i="8"/>
  <c r="I10" i="6"/>
  <c r="I11" i="8"/>
  <c r="I12" i="6"/>
  <c r="I6" i="8"/>
  <c r="I7" i="6"/>
  <c r="I8" i="8"/>
  <c r="I9" i="6"/>
  <c r="I10" i="8"/>
  <c r="I8" i="6"/>
  <c r="I6" i="6"/>
  <c r="I12" i="8"/>
  <c r="I7" i="8"/>
  <c r="I12" i="3"/>
  <c r="I19" i="3"/>
  <c r="I14" i="3"/>
  <c r="H7" i="3"/>
  <c r="I17" i="3"/>
  <c r="H13" i="8"/>
  <c r="H13" i="6"/>
  <c r="I20" i="3"/>
  <c r="I18" i="3"/>
  <c r="H19" i="8"/>
  <c r="H20" i="6"/>
  <c r="H14" i="6"/>
  <c r="H14" i="8"/>
  <c r="H15" i="6"/>
  <c r="H18" i="6"/>
  <c r="H21" i="8"/>
  <c r="H16" i="8"/>
  <c r="H17" i="6"/>
  <c r="H21" i="6"/>
  <c r="H16" i="6"/>
  <c r="H18" i="8"/>
  <c r="H19" i="6"/>
  <c r="H20" i="8"/>
  <c r="H15" i="8"/>
  <c r="H17" i="8"/>
  <c r="H20" i="3"/>
  <c r="I11" i="3"/>
  <c r="H13" i="3"/>
  <c r="I8" i="3"/>
  <c r="H16" i="3"/>
  <c r="I13" i="8"/>
  <c r="I13" i="6"/>
  <c r="I15" i="3"/>
  <c r="H21" i="3"/>
  <c r="H15" i="3"/>
  <c r="I10" i="3"/>
  <c r="I14" i="8"/>
  <c r="I15" i="6"/>
  <c r="I21" i="8"/>
  <c r="I21" i="6"/>
  <c r="I16" i="8"/>
  <c r="I17" i="6"/>
  <c r="I18" i="8"/>
  <c r="I19" i="6"/>
  <c r="I15" i="8"/>
  <c r="I14" i="6"/>
  <c r="I20" i="8"/>
  <c r="I16" i="6"/>
  <c r="I17" i="8"/>
  <c r="I18" i="6"/>
  <c r="I19" i="8"/>
  <c r="I20" i="6"/>
  <c r="I16" i="3"/>
  <c r="H7" i="8"/>
  <c r="H8" i="6"/>
  <c r="H10" i="6"/>
  <c r="H9" i="8"/>
  <c r="H11" i="8"/>
  <c r="H12" i="6"/>
  <c r="H7" i="6"/>
  <c r="H9" i="6"/>
  <c r="H6" i="6"/>
  <c r="H6" i="8"/>
  <c r="H8" i="8"/>
  <c r="H10" i="8"/>
  <c r="H11" i="6"/>
  <c r="H12" i="8"/>
  <c r="H10" i="3"/>
  <c r="H19" i="3"/>
  <c r="C86" i="1"/>
  <c r="C77" i="1"/>
  <c r="C55" i="1"/>
  <c r="J13" i="8" l="1"/>
  <c r="L13" i="8" s="1"/>
  <c r="J13" i="6"/>
  <c r="L13" i="6" s="1"/>
  <c r="J13" i="3"/>
  <c r="L13" i="3" s="1"/>
  <c r="M13" i="3" s="1"/>
  <c r="O13" i="3" s="1"/>
  <c r="Q13" i="3" s="1"/>
  <c r="J21" i="8"/>
  <c r="L21" i="8" s="1"/>
  <c r="J15" i="8"/>
  <c r="L15" i="8" s="1"/>
  <c r="J16" i="8"/>
  <c r="L16" i="8" s="1"/>
  <c r="J17" i="6"/>
  <c r="L17" i="6" s="1"/>
  <c r="J18" i="8"/>
  <c r="L18" i="8" s="1"/>
  <c r="J19" i="6"/>
  <c r="L19" i="6" s="1"/>
  <c r="J18" i="6"/>
  <c r="L18" i="6" s="1"/>
  <c r="J14" i="6"/>
  <c r="L14" i="6" s="1"/>
  <c r="J20" i="8"/>
  <c r="L20" i="8" s="1"/>
  <c r="J21" i="6"/>
  <c r="L21" i="6" s="1"/>
  <c r="J20" i="6"/>
  <c r="L20" i="6" s="1"/>
  <c r="J16" i="6"/>
  <c r="L16" i="6" s="1"/>
  <c r="J17" i="8"/>
  <c r="L17" i="8" s="1"/>
  <c r="J19" i="8"/>
  <c r="L19" i="8" s="1"/>
  <c r="J14" i="8"/>
  <c r="L14" i="8" s="1"/>
  <c r="J15" i="6"/>
  <c r="L15" i="6" s="1"/>
  <c r="J21" i="3"/>
  <c r="L21" i="3" s="1"/>
  <c r="Q21" i="3" s="1"/>
  <c r="J17" i="3"/>
  <c r="L17" i="3" s="1"/>
  <c r="Q17" i="3" s="1"/>
  <c r="J16" i="3"/>
  <c r="L16" i="3" s="1"/>
  <c r="J18" i="3"/>
  <c r="L18" i="3" s="1"/>
  <c r="J15" i="3"/>
  <c r="L15" i="3" s="1"/>
  <c r="J20" i="3"/>
  <c r="L20" i="3" s="1"/>
  <c r="J19" i="3"/>
  <c r="L19" i="3" s="1"/>
  <c r="M19" i="3" s="1"/>
  <c r="R19" i="3" s="1"/>
  <c r="J14" i="3"/>
  <c r="L14" i="3" s="1"/>
  <c r="J9" i="8"/>
  <c r="L9" i="8" s="1"/>
  <c r="J10" i="6"/>
  <c r="L10" i="6" s="1"/>
  <c r="J11" i="6"/>
  <c r="L11" i="6" s="1"/>
  <c r="J11" i="8"/>
  <c r="L11" i="8" s="1"/>
  <c r="J12" i="6"/>
  <c r="L12" i="6" s="1"/>
  <c r="J10" i="8"/>
  <c r="L10" i="8" s="1"/>
  <c r="J8" i="6"/>
  <c r="L8" i="6" s="1"/>
  <c r="J6" i="8"/>
  <c r="L6" i="8" s="1"/>
  <c r="J7" i="6"/>
  <c r="L7" i="6" s="1"/>
  <c r="J7" i="8"/>
  <c r="L7" i="8" s="1"/>
  <c r="J8" i="8"/>
  <c r="L8" i="8" s="1"/>
  <c r="J9" i="6"/>
  <c r="L9" i="6" s="1"/>
  <c r="J6" i="6"/>
  <c r="L6" i="6" s="1"/>
  <c r="J12" i="8"/>
  <c r="L12" i="8" s="1"/>
  <c r="J12" i="3"/>
  <c r="L12" i="3" s="1"/>
  <c r="M12" i="3" s="1"/>
  <c r="O12" i="3" s="1"/>
  <c r="Q12" i="3" s="1"/>
  <c r="J10" i="3"/>
  <c r="L10" i="3" s="1"/>
  <c r="J8" i="3"/>
  <c r="L8" i="3" s="1"/>
  <c r="M8" i="3" s="1"/>
  <c r="O8" i="3" s="1"/>
  <c r="Q8" i="3" s="1"/>
  <c r="J6" i="3"/>
  <c r="L6" i="3" s="1"/>
  <c r="M6" i="3" s="1"/>
  <c r="O6" i="3" s="1"/>
  <c r="Q6" i="3" s="1"/>
  <c r="J11" i="3"/>
  <c r="L11" i="3" s="1"/>
  <c r="M11" i="3" s="1"/>
  <c r="O11" i="3" s="1"/>
  <c r="J9" i="3"/>
  <c r="L9" i="3" s="1"/>
  <c r="M9" i="3" s="1"/>
  <c r="O9" i="3" s="1"/>
  <c r="J7" i="3"/>
  <c r="L7" i="3" s="1"/>
  <c r="G77" i="1"/>
  <c r="C78" i="1" s="1"/>
  <c r="C87" i="1" s="1"/>
  <c r="G16" i="1"/>
  <c r="H16" i="1"/>
  <c r="B28" i="1" s="1"/>
  <c r="B28" i="5" s="1"/>
  <c r="C72" i="5" s="1"/>
  <c r="C73" i="5" s="1"/>
  <c r="F16" i="1"/>
  <c r="B26" i="1" s="1"/>
  <c r="B27" i="1" l="1"/>
  <c r="B27" i="5" s="1"/>
  <c r="N13" i="3"/>
  <c r="P13" i="3" s="1"/>
  <c r="R13" i="3" s="1"/>
  <c r="O19" i="3"/>
  <c r="N6" i="3"/>
  <c r="N11" i="3"/>
  <c r="P11" i="3" s="1"/>
  <c r="R11" i="3" s="1"/>
  <c r="M7" i="3"/>
  <c r="O7" i="3" s="1"/>
  <c r="Q7" i="3" s="1"/>
  <c r="N7" i="3"/>
  <c r="P7" i="3" s="1"/>
  <c r="L22" i="3"/>
  <c r="N15" i="8"/>
  <c r="M15" i="8"/>
  <c r="P15" i="8"/>
  <c r="N8" i="6"/>
  <c r="P8" i="6" s="1"/>
  <c r="M8" i="6"/>
  <c r="N12" i="6"/>
  <c r="P12" i="6" s="1"/>
  <c r="M12" i="6"/>
  <c r="P20" i="3"/>
  <c r="N20" i="3"/>
  <c r="Q20" i="3"/>
  <c r="M20" i="3"/>
  <c r="M15" i="6"/>
  <c r="N15" i="6"/>
  <c r="P15" i="6" s="1"/>
  <c r="Q17" i="8"/>
  <c r="M17" i="8"/>
  <c r="P17" i="8"/>
  <c r="N17" i="8"/>
  <c r="Q20" i="8"/>
  <c r="M20" i="8"/>
  <c r="P20" i="8"/>
  <c r="N20" i="8"/>
  <c r="P17" i="6"/>
  <c r="Q17" i="6"/>
  <c r="M17" i="6"/>
  <c r="N17" i="6"/>
  <c r="N21" i="8"/>
  <c r="P21" i="8"/>
  <c r="Q21" i="8"/>
  <c r="M21" i="8"/>
  <c r="M15" i="3"/>
  <c r="N15" i="3"/>
  <c r="P15" i="3" s="1"/>
  <c r="M12" i="8"/>
  <c r="N12" i="8"/>
  <c r="P12" i="8" s="1"/>
  <c r="P18" i="6"/>
  <c r="Q18" i="6"/>
  <c r="M18" i="6"/>
  <c r="N18" i="6"/>
  <c r="M14" i="8"/>
  <c r="N14" i="8"/>
  <c r="P14" i="8" s="1"/>
  <c r="M10" i="3"/>
  <c r="N10" i="3"/>
  <c r="P10" i="3" s="1"/>
  <c r="N13" i="6"/>
  <c r="P13" i="6" s="1"/>
  <c r="M13" i="6"/>
  <c r="N9" i="8"/>
  <c r="P9" i="8" s="1"/>
  <c r="M9" i="8"/>
  <c r="M18" i="3"/>
  <c r="N18" i="3"/>
  <c r="Q18" i="3"/>
  <c r="P18" i="3"/>
  <c r="M16" i="3"/>
  <c r="N16" i="3"/>
  <c r="P16" i="3" s="1"/>
  <c r="M6" i="6"/>
  <c r="L22" i="6"/>
  <c r="N6" i="6"/>
  <c r="P6" i="6" s="1"/>
  <c r="N9" i="6"/>
  <c r="P9" i="6" s="1"/>
  <c r="M9" i="6"/>
  <c r="Q18" i="8"/>
  <c r="M18" i="8"/>
  <c r="P18" i="8"/>
  <c r="N18" i="8"/>
  <c r="N8" i="3"/>
  <c r="P8" i="3" s="1"/>
  <c r="R8" i="3" s="1"/>
  <c r="N16" i="8"/>
  <c r="P16" i="8" s="1"/>
  <c r="M16" i="8"/>
  <c r="N19" i="3"/>
  <c r="P19" i="3"/>
  <c r="Q19" i="3"/>
  <c r="N10" i="6"/>
  <c r="P10" i="6" s="1"/>
  <c r="M10" i="6"/>
  <c r="M13" i="8"/>
  <c r="N13" i="8"/>
  <c r="P13" i="8" s="1"/>
  <c r="M8" i="8"/>
  <c r="N8" i="8"/>
  <c r="P8" i="8" s="1"/>
  <c r="N12" i="3"/>
  <c r="P12" i="3" s="1"/>
  <c r="R12" i="3" s="1"/>
  <c r="N7" i="6"/>
  <c r="P7" i="6" s="1"/>
  <c r="M7" i="6"/>
  <c r="L22" i="8"/>
  <c r="M6" i="8"/>
  <c r="N6" i="8"/>
  <c r="P6" i="8" s="1"/>
  <c r="Q19" i="8"/>
  <c r="P19" i="8"/>
  <c r="M19" i="8"/>
  <c r="N19" i="8"/>
  <c r="M10" i="8"/>
  <c r="N10" i="8"/>
  <c r="P10" i="8" s="1"/>
  <c r="P19" i="6"/>
  <c r="N19" i="6"/>
  <c r="M19" i="6"/>
  <c r="Q19" i="6"/>
  <c r="N11" i="6"/>
  <c r="P11" i="6" s="1"/>
  <c r="M11" i="6"/>
  <c r="M14" i="6"/>
  <c r="N14" i="6"/>
  <c r="P14" i="6" s="1"/>
  <c r="N9" i="3"/>
  <c r="P9" i="3" s="1"/>
  <c r="R9" i="3" s="1"/>
  <c r="P21" i="6"/>
  <c r="N21" i="6"/>
  <c r="Q21" i="6"/>
  <c r="M21" i="6"/>
  <c r="P21" i="3"/>
  <c r="N21" i="3"/>
  <c r="M21" i="3"/>
  <c r="Q9" i="3"/>
  <c r="M7" i="8"/>
  <c r="N7" i="8"/>
  <c r="P7" i="8" s="1"/>
  <c r="M14" i="3"/>
  <c r="N14" i="3"/>
  <c r="P14" i="3" s="1"/>
  <c r="M16" i="6"/>
  <c r="N16" i="6"/>
  <c r="P16" i="6" s="1"/>
  <c r="Q11" i="3"/>
  <c r="P20" i="6"/>
  <c r="N20" i="6"/>
  <c r="M20" i="6"/>
  <c r="Q20" i="6"/>
  <c r="P17" i="3"/>
  <c r="M17" i="3"/>
  <c r="N17" i="3"/>
  <c r="M11" i="8"/>
  <c r="N11" i="8"/>
  <c r="P11" i="8" s="1"/>
  <c r="C79" i="1"/>
  <c r="G17" i="1"/>
  <c r="P6" i="3"/>
  <c r="R6" i="3" s="1"/>
  <c r="C72" i="1"/>
  <c r="C90" i="1"/>
  <c r="C88" i="1"/>
  <c r="C71" i="1"/>
  <c r="C37" i="1"/>
  <c r="R7" i="3" l="1"/>
  <c r="C26" i="1"/>
  <c r="B26" i="5"/>
  <c r="C26" i="5" s="1"/>
  <c r="O9" i="8"/>
  <c r="Q9" i="8" s="1"/>
  <c r="R9" i="8"/>
  <c r="R6" i="6"/>
  <c r="O6" i="6"/>
  <c r="Q6" i="6" s="1"/>
  <c r="R13" i="6"/>
  <c r="O13" i="6"/>
  <c r="Q13" i="6" s="1"/>
  <c r="R17" i="6"/>
  <c r="O17" i="6"/>
  <c r="R14" i="3"/>
  <c r="O14" i="3"/>
  <c r="Q14" i="3" s="1"/>
  <c r="R10" i="8"/>
  <c r="O10" i="8"/>
  <c r="Q10" i="8" s="1"/>
  <c r="R8" i="8"/>
  <c r="O8" i="8"/>
  <c r="Q8" i="8" s="1"/>
  <c r="O12" i="8"/>
  <c r="Q12" i="8" s="1"/>
  <c r="R12" i="8"/>
  <c r="O15" i="6"/>
  <c r="Q15" i="6" s="1"/>
  <c r="R15" i="6"/>
  <c r="O15" i="8"/>
  <c r="Q15" i="8" s="1"/>
  <c r="R15" i="8"/>
  <c r="O17" i="8"/>
  <c r="R17" i="8"/>
  <c r="O19" i="6"/>
  <c r="R19" i="6"/>
  <c r="R20" i="6"/>
  <c r="O20" i="6"/>
  <c r="R20" i="3"/>
  <c r="O20" i="3"/>
  <c r="R17" i="3"/>
  <c r="O17" i="3"/>
  <c r="R7" i="8"/>
  <c r="O7" i="8"/>
  <c r="Q7" i="8" s="1"/>
  <c r="R14" i="6"/>
  <c r="O14" i="6"/>
  <c r="Q14" i="6" s="1"/>
  <c r="O19" i="8"/>
  <c r="R19" i="8"/>
  <c r="R13" i="8"/>
  <c r="O13" i="8"/>
  <c r="Q13" i="8" s="1"/>
  <c r="R16" i="3"/>
  <c r="O16" i="3"/>
  <c r="Q16" i="3" s="1"/>
  <c r="R10" i="3"/>
  <c r="O10" i="3"/>
  <c r="Q10" i="3" s="1"/>
  <c r="O21" i="6"/>
  <c r="R21" i="6"/>
  <c r="O18" i="3"/>
  <c r="R18" i="3"/>
  <c r="O20" i="8"/>
  <c r="R20" i="8"/>
  <c r="O21" i="3"/>
  <c r="R21" i="3"/>
  <c r="R11" i="6"/>
  <c r="O11" i="6"/>
  <c r="Q11" i="6" s="1"/>
  <c r="R18" i="8"/>
  <c r="O18" i="8"/>
  <c r="R15" i="3"/>
  <c r="O15" i="3"/>
  <c r="Q15" i="3" s="1"/>
  <c r="R8" i="6"/>
  <c r="O8" i="6"/>
  <c r="Q8" i="6" s="1"/>
  <c r="R16" i="6"/>
  <c r="O16" i="6"/>
  <c r="Q16" i="6" s="1"/>
  <c r="R7" i="6"/>
  <c r="O7" i="6"/>
  <c r="Q7" i="6" s="1"/>
  <c r="O18" i="6"/>
  <c r="R18" i="6"/>
  <c r="O10" i="6"/>
  <c r="Q10" i="6" s="1"/>
  <c r="R10" i="6"/>
  <c r="R14" i="8"/>
  <c r="O14" i="8"/>
  <c r="Q14" i="8" s="1"/>
  <c r="O21" i="8"/>
  <c r="R21" i="8"/>
  <c r="R12" i="6"/>
  <c r="O12" i="6"/>
  <c r="Q12" i="6" s="1"/>
  <c r="O11" i="8"/>
  <c r="Q11" i="8" s="1"/>
  <c r="R11" i="8"/>
  <c r="O16" i="8"/>
  <c r="Q16" i="8" s="1"/>
  <c r="R16" i="8"/>
  <c r="O6" i="8"/>
  <c r="Q6" i="8" s="1"/>
  <c r="R6" i="8"/>
  <c r="R9" i="6"/>
  <c r="O9" i="6"/>
  <c r="Q9" i="6" s="1"/>
  <c r="C73" i="1"/>
  <c r="C39" i="1" l="1"/>
  <c r="C89" i="1"/>
  <c r="Q22" i="3"/>
  <c r="R22" i="3"/>
  <c r="C38" i="5"/>
  <c r="C30" i="5"/>
  <c r="C89" i="5" s="1"/>
  <c r="Q22" i="8"/>
  <c r="Q22" i="6"/>
  <c r="R22" i="6"/>
  <c r="R22" i="8"/>
  <c r="G57" i="1" l="1"/>
  <c r="F60" i="1" s="1"/>
  <c r="C63" i="1" s="1"/>
  <c r="C64" i="1"/>
  <c r="C64" i="5"/>
  <c r="C39" i="5"/>
  <c r="C23" i="6"/>
  <c r="G57" i="5" s="1"/>
  <c r="F60" i="5" s="1"/>
  <c r="C63" i="5" s="1"/>
  <c r="C23" i="8"/>
  <c r="G57" i="7" s="1"/>
  <c r="F60" i="7" s="1"/>
  <c r="C63" i="7" s="1"/>
  <c r="C65" i="7" s="1"/>
  <c r="F65" i="7" s="1"/>
  <c r="C65" i="1" l="1"/>
  <c r="F65" i="1" s="1"/>
  <c r="C65" i="5"/>
  <c r="F65" i="5" s="1"/>
</calcChain>
</file>

<file path=xl/sharedStrings.xml><?xml version="1.0" encoding="utf-8"?>
<sst xmlns="http://schemas.openxmlformats.org/spreadsheetml/2006/main" count="623" uniqueCount="190">
  <si>
    <t>CALCOLO CAPACITA' ASSUNZIONALI (ART. 33, COMMA 4, D.L. 34/2019 - D.P.C.M. 17/03/2020)</t>
  </si>
  <si>
    <t xml:space="preserve">COMUNE DI </t>
  </si>
  <si>
    <t>POPOLAZIONE</t>
  </si>
  <si>
    <t>FASCIA</t>
  </si>
  <si>
    <t>definizione art. 2, comma 1, lett. a)</t>
  </si>
  <si>
    <t>definizione art. 2, comma 1, lett. b)</t>
  </si>
  <si>
    <t>e</t>
  </si>
  <si>
    <t xml:space="preserve">2) Calcolo rapporto Spesa di personale su entrate correnti - art. 2 </t>
  </si>
  <si>
    <t>IMPORTI</t>
  </si>
  <si>
    <t>DEFINIZIONI</t>
  </si>
  <si>
    <t>VALORE SOGLIA PIU' BASSO</t>
  </si>
  <si>
    <t>VALORE SOGLIA PIU' ALTO</t>
  </si>
  <si>
    <t>3) Raffronto % Ente con valori soglia tabelle 1 e 3</t>
  </si>
  <si>
    <t>Fascia</t>
  </si>
  <si>
    <t>Popolazione</t>
  </si>
  <si>
    <t>a</t>
  </si>
  <si>
    <t>b</t>
  </si>
  <si>
    <t>c</t>
  </si>
  <si>
    <t>d</t>
  </si>
  <si>
    <t>f</t>
  </si>
  <si>
    <t>g</t>
  </si>
  <si>
    <t>h</t>
  </si>
  <si>
    <t>i</t>
  </si>
  <si>
    <t>0-999</t>
  </si>
  <si>
    <t>1000-1999</t>
  </si>
  <si>
    <t>2000-2999</t>
  </si>
  <si>
    <t>3000-4999</t>
  </si>
  <si>
    <t>5000-9999</t>
  </si>
  <si>
    <t>10000-59999</t>
  </si>
  <si>
    <t>60000-249999</t>
  </si>
  <si>
    <t>250000-14999999</t>
  </si>
  <si>
    <t>1500000&gt;</t>
  </si>
  <si>
    <t>Tabella 1 (Valore soglia più basso)</t>
  </si>
  <si>
    <t>Tabella 3 (Valore soglia più alto)</t>
  </si>
  <si>
    <t xml:space="preserve">Caso A: Comune con % al di sotto del valore soglia più basso </t>
  </si>
  <si>
    <t>SPESA MASSIMA DI PERSONALE</t>
  </si>
  <si>
    <t>INCREMENTO MASSIMO</t>
  </si>
  <si>
    <t>Anno 2020</t>
  </si>
  <si>
    <t>Anno 2021</t>
  </si>
  <si>
    <t>Anno 2022</t>
  </si>
  <si>
    <t>Anno 2023</t>
  </si>
  <si>
    <t>Anno 2024</t>
  </si>
  <si>
    <t>Art. 4, comma 2</t>
  </si>
  <si>
    <t>1) Individuazione dei valori soglia - art. 4, comma 1 e art. 6; tabelle 1 e 3</t>
  </si>
  <si>
    <t>RIFERIMENTO D.P.C.M.</t>
  </si>
  <si>
    <t>SPESA DI PERSONALE ANNO 2018</t>
  </si>
  <si>
    <t>Incremento annuo della spesa di personale fino al 2024:</t>
  </si>
  <si>
    <t>VALORI</t>
  </si>
  <si>
    <t>INCREMENTO ANNUO</t>
  </si>
  <si>
    <t>RESTI ASSUNZIONALI ANNI 2015-2019</t>
  </si>
  <si>
    <t>Art. 5, comma 1</t>
  </si>
  <si>
    <t>Art. 5, comma 2</t>
  </si>
  <si>
    <t>CALCOLO CAPACITA' ASSUNZIONALE</t>
  </si>
  <si>
    <t>Controllo limite (*):</t>
  </si>
  <si>
    <t>(*) La spesa di personale dell'anno, comprensiva della capacità assunzionale consentita, non può superare la spesa massima art. 4, comma 1</t>
  </si>
  <si>
    <t>ENTRATE RENDICONTO ANNO 2017</t>
  </si>
  <si>
    <t>ENTRATE RENDICONTO ANNO 2018</t>
  </si>
  <si>
    <t>ENTRATE RENDICONTO ANNO 2019</t>
  </si>
  <si>
    <t>SPESA DI PERSONALE ANNO 2019</t>
  </si>
  <si>
    <t>PROIEZIONE SPESA DI PERSONALE ANNO 2020</t>
  </si>
  <si>
    <t>C. F. U1.03.02.12.001</t>
  </si>
  <si>
    <t>C. F. U1.03.02.12.002</t>
  </si>
  <si>
    <t>C. F. U1.03.02.12.003</t>
  </si>
  <si>
    <t>C. F. U1.03.02.12.999</t>
  </si>
  <si>
    <t>TOTALE</t>
  </si>
  <si>
    <t xml:space="preserve">Caso B: Comune con % compresa tra i due valori soglia </t>
  </si>
  <si>
    <t>Caso C: Comune con % al di sopra del valore soglia più alto</t>
  </si>
  <si>
    <t>ENTRATE CORRENTI AL NETTO FCDE ANNO 2019</t>
  </si>
  <si>
    <t>Art. 6, comma 3</t>
  </si>
  <si>
    <t>RAPPORTO SPESA PERSONALE/ENTRATE CORRENTI</t>
  </si>
  <si>
    <t>(*) Il rapporto spesa personale/entrate correnti dell'anno di riferimento non può superare il medesimo rapporto registrato nell'ultimo rendiconto approvato</t>
  </si>
  <si>
    <t>ENTRATE CORRENTI AL NETTO FCDE ANNO 2020 (PREVISIONE/CONSUNTIVO)</t>
  </si>
  <si>
    <t>SPESA DI PERSONALE ANNO 2020 (PREVISIONE/CONSUNTIVO)</t>
  </si>
  <si>
    <t>RAPPORTO SPESA PERSONALE/ENTRATE CORRENTI (VALORE LIMITE)</t>
  </si>
  <si>
    <t>Art. 6, commi 1 e 2</t>
  </si>
  <si>
    <t xml:space="preserve">DIFFERENZA </t>
  </si>
  <si>
    <t>RAPPORTO SPESA PERSONALE/ENTRATE CORRENTI ANNO 2020</t>
  </si>
  <si>
    <t>DEVE ESSERE &lt; O = A 0</t>
  </si>
  <si>
    <t>DEVE ESSERE PARI O INFERIORE AL "VALORE LIMITE"</t>
  </si>
  <si>
    <t>RAPPORTO SPESA PERSONALE 2019 /ENTRATE CORRENTI 2017-2018-2019 AL NETTO FCDE</t>
  </si>
  <si>
    <t>(*) il rapporto spesa personale/entrate correnti deve essere gradualmente ridotto fino al conseguimento del valore soglia più alto entro il 2025</t>
  </si>
  <si>
    <t>CAMPO NELL'ELBA</t>
  </si>
  <si>
    <t>D</t>
  </si>
  <si>
    <t>Totale</t>
  </si>
  <si>
    <t>Media</t>
  </si>
  <si>
    <t>Entrate correnti</t>
  </si>
  <si>
    <t>FCDE</t>
  </si>
  <si>
    <t>CALCOLI DA BILANCIO</t>
  </si>
  <si>
    <t>Entrate</t>
  </si>
  <si>
    <t>Spese</t>
  </si>
  <si>
    <t>1.01</t>
  </si>
  <si>
    <t>NON CONSIDERARE</t>
  </si>
  <si>
    <t>Progr.</t>
  </si>
  <si>
    <t>Dipendente
(Cognome e nome)</t>
  </si>
  <si>
    <t>Mesi</t>
  </si>
  <si>
    <t>Part-time (%)</t>
  </si>
  <si>
    <t>Retribuzione
(12 mensilità)
(a)</t>
  </si>
  <si>
    <t>Tredicesima
(b)</t>
  </si>
  <si>
    <t>Indennità di comparto
(c)</t>
  </si>
  <si>
    <t>Indennità di vacanza contrattuale
(d)</t>
  </si>
  <si>
    <t>TOTALE RETRIBUZIONE</t>
  </si>
  <si>
    <t>Imponibile C.P.D.E.L.</t>
  </si>
  <si>
    <t>Imponibile TFR-S</t>
  </si>
  <si>
    <t>CPDEL</t>
  </si>
  <si>
    <t>TFR-S</t>
  </si>
  <si>
    <t>TOTALE CPDEL</t>
  </si>
  <si>
    <t>TOTALE TFR-S</t>
  </si>
  <si>
    <t>CATEGORIA</t>
  </si>
  <si>
    <t>Retribuzione 12 mensilità</t>
  </si>
  <si>
    <t>Tredicesima mensilità</t>
  </si>
  <si>
    <t>Indennità di comparto parte A 
(12 mensilità)</t>
  </si>
  <si>
    <t>Vacanza contrattuale
(13 mensilità)</t>
  </si>
  <si>
    <t>Segr. - Fascia A</t>
  </si>
  <si>
    <t>Segr. - Fascia B</t>
  </si>
  <si>
    <t>Segr. - Fascia C</t>
  </si>
  <si>
    <t>Dirigente</t>
  </si>
  <si>
    <t>comparto parte A</t>
  </si>
  <si>
    <t>A</t>
  </si>
  <si>
    <t>B</t>
  </si>
  <si>
    <t>C</t>
  </si>
  <si>
    <t>ANNO DI ASSUNZIONE</t>
  </si>
  <si>
    <t>COMUNE DI CAMPO NELL'ELBA</t>
  </si>
  <si>
    <t>ANNO</t>
  </si>
  <si>
    <t>CALCOLO SPESA ASSUNZIONI EFFETTUATE DAL 2020 AI SENSI DEL D.P.C.M. 17/3/2020 (Escluso IRAP)</t>
  </si>
  <si>
    <t>Assunzioni dal 2020</t>
  </si>
  <si>
    <t>Capacità assunzionale rimanente</t>
  </si>
  <si>
    <t>VERIFICA RISPETTO: SI/NO</t>
  </si>
  <si>
    <t>Capacità assunzionale effettiva rimanente</t>
  </si>
  <si>
    <t xml:space="preserve">CAPACITA' ASSUNZIONALE </t>
  </si>
  <si>
    <t>Solo caso B</t>
  </si>
  <si>
    <t>Colonna da aggiornare</t>
  </si>
  <si>
    <t>all'ultimo</t>
  </si>
  <si>
    <t>consuntivo approvato</t>
  </si>
  <si>
    <t>PROIEZIONE SPESA DI PERSONALE ANNO 2021</t>
  </si>
  <si>
    <t xml:space="preserve">PROIEZIONE SPESA DI PERSONALE anno corrente </t>
  </si>
  <si>
    <t>più capacità assunzionale rimanente</t>
  </si>
  <si>
    <t>Spesa personale da stanziamenti di Bilancio anno corrente escluso IRAP compreso assunzioni previste</t>
  </si>
  <si>
    <t>Utilizzo spazi assunzionali</t>
  </si>
  <si>
    <t>RAPPORTO SPESA PERSONALE / ENTRATE CORRENTI (media dei tre anni -FCDE assestato ultimo rendiconto approvato)</t>
  </si>
  <si>
    <t>Cap.</t>
  </si>
  <si>
    <t>101020508500</t>
  </si>
  <si>
    <t>Trasf. Segretario</t>
  </si>
  <si>
    <t>Lavoro Interinale</t>
  </si>
  <si>
    <t>LSU (Lavori socialmente utili)</t>
  </si>
  <si>
    <t>Collaborazioni a progetto</t>
  </si>
  <si>
    <t>Altre forme di lavoro flessibile</t>
  </si>
  <si>
    <t>V° livello</t>
  </si>
  <si>
    <t>% DI INCREMENTO ANNO 2022</t>
  </si>
  <si>
    <t>% DI INCREMENTO ANNO 2023</t>
  </si>
  <si>
    <t>ENTRATE RENDICONTO ANNO 2020</t>
  </si>
  <si>
    <t>Entrate correnti di natura tributaria</t>
  </si>
  <si>
    <t>Trasferimenti correnti</t>
  </si>
  <si>
    <t>Entrate extratributarie</t>
  </si>
  <si>
    <t>SPESA DI PERSONALE RENDICONTO ANNO 2020</t>
  </si>
  <si>
    <t>SPESA DI PERSONALE ANNO 2020</t>
  </si>
  <si>
    <t>CAPACITA' ASSUNZIONALE</t>
  </si>
  <si>
    <t>GELSI SIMONE</t>
  </si>
  <si>
    <t>ENTRATE RENDICONTO ANNO 2021</t>
  </si>
  <si>
    <t>CAPACITA' ASSUNZIONALE ANNO 2022</t>
  </si>
  <si>
    <t>Ultimo anno FCDE assestato</t>
  </si>
  <si>
    <t>Ultimo consunti approvato</t>
  </si>
  <si>
    <t>GALLI MARIA CRISTINA</t>
  </si>
  <si>
    <t>CORSI FRANCESCO</t>
  </si>
  <si>
    <t>TACCHELLA STEFANO</t>
  </si>
  <si>
    <t>FERRINI FRANCESCA</t>
  </si>
  <si>
    <t>MAZZEI EMANUELE</t>
  </si>
  <si>
    <t>AREA</t>
  </si>
  <si>
    <t>FUNZIONARI</t>
  </si>
  <si>
    <t>ISTRUTTORI</t>
  </si>
  <si>
    <t>OPERATORI ESPERTI</t>
  </si>
  <si>
    <t>OPERATORI</t>
  </si>
  <si>
    <t>VUOTO</t>
  </si>
  <si>
    <t>TECCHELLA STEFANO</t>
  </si>
  <si>
    <t>TESTI MASSIMILIANO</t>
  </si>
  <si>
    <t>RAINO' CHIARA</t>
  </si>
  <si>
    <t>FIORINO GABRIELLA</t>
  </si>
  <si>
    <t>SCORR. GRADUATORIA</t>
  </si>
  <si>
    <t>SPESA DI PERSONALE RENDICONTO ANNO 2022</t>
  </si>
  <si>
    <t>ENTRATE RENDICONTO ANNO 2022</t>
  </si>
  <si>
    <t>FCDE PREVISIONE ASSESTATA ANNO 2022</t>
  </si>
  <si>
    <t>SPESA DI PERSONALE ANNO 2022</t>
  </si>
  <si>
    <t>CONCORSO/MOBILITA'</t>
  </si>
  <si>
    <t>IRAP</t>
  </si>
  <si>
    <t>TOTALE CON IRAP</t>
  </si>
  <si>
    <t>AL 31.12.2018</t>
  </si>
  <si>
    <t>personale a tempo indeterminato</t>
  </si>
  <si>
    <t>MEDIA UNITA'</t>
  </si>
  <si>
    <t>UNITA' TOTALI</t>
  </si>
  <si>
    <t>MAGGIORE SPESA PER PERSONALE A TEMPO INDETERMINATO RISPETTO AL 2018</t>
  </si>
  <si>
    <t>DIFFERENZA UNITA'  ANNO DI RIFERIMENTO  RISPETTO AL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</si>
</sst>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4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u val="singleAccounting"/>
      <sz val="11"/>
      <color rgb="FF7030A0"/>
      <name val="Calibri"/>
      <family val="2"/>
      <scheme val="minor"/>
    </font>
    <font>
      <b/>
      <u/>
      <sz val="11"/>
      <color theme="6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8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u/>
      <sz val="16"/>
      <color theme="4" tint="-0.499984740745262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b/>
      <u val="singleAccounting"/>
      <sz val="12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2"/>
      <color theme="9" tint="-0.499984740745262"/>
      <name val="Arial"/>
      <family val="2"/>
    </font>
    <font>
      <b/>
      <sz val="12"/>
      <color theme="0"/>
      <name val="Arial"/>
      <family val="2"/>
    </font>
    <font>
      <b/>
      <u val="singleAccounting"/>
      <sz val="12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7030A0"/>
      <name val="Calibri"/>
      <family val="2"/>
      <scheme val="minor"/>
    </font>
    <font>
      <b/>
      <u val="singleAccounting"/>
      <sz val="12"/>
      <color rgb="FF7030A0"/>
      <name val="Arial"/>
      <family val="2"/>
    </font>
    <font>
      <b/>
      <sz val="11"/>
      <color theme="8" tint="-0.499984740745262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5" fillId="6" borderId="0" applyNumberFormat="0" applyBorder="0" applyAlignment="0" applyProtection="0"/>
    <xf numFmtId="0" fontId="19" fillId="0" borderId="0"/>
    <xf numFmtId="0" fontId="39" fillId="0" borderId="0"/>
    <xf numFmtId="43" fontId="19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0" fontId="0" fillId="0" borderId="1" xfId="0" applyNumberFormat="1" applyBorder="1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10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2" fillId="0" borderId="0" xfId="0" applyFont="1"/>
    <xf numFmtId="20" fontId="2" fillId="0" borderId="0" xfId="0" applyNumberFormat="1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43" fontId="0" fillId="0" borderId="1" xfId="1" applyFont="1" applyBorder="1"/>
    <xf numFmtId="43" fontId="0" fillId="0" borderId="1" xfId="1" applyFont="1" applyFill="1" applyBorder="1" applyAlignment="1"/>
    <xf numFmtId="43" fontId="0" fillId="0" borderId="1" xfId="1" applyFont="1" applyFill="1" applyBorder="1" applyAlignment="1">
      <alignment vertical="center"/>
    </xf>
    <xf numFmtId="0" fontId="1" fillId="0" borderId="1" xfId="0" applyFont="1" applyBorder="1"/>
    <xf numFmtId="10" fontId="1" fillId="0" borderId="1" xfId="0" applyNumberFormat="1" applyFont="1" applyBorder="1"/>
    <xf numFmtId="43" fontId="1" fillId="0" borderId="1" xfId="0" applyNumberFormat="1" applyFont="1" applyBorder="1"/>
    <xf numFmtId="43" fontId="6" fillId="0" borderId="1" xfId="1" applyFont="1" applyBorder="1"/>
    <xf numFmtId="0" fontId="0" fillId="2" borderId="1" xfId="0" applyFill="1" applyBorder="1" applyAlignment="1">
      <alignment horizontal="center"/>
    </xf>
    <xf numFmtId="43" fontId="0" fillId="2" borderId="1" xfId="1" applyFont="1" applyFill="1" applyBorder="1"/>
    <xf numFmtId="43" fontId="0" fillId="2" borderId="1" xfId="1" applyFont="1" applyFill="1" applyBorder="1" applyAlignment="1"/>
    <xf numFmtId="10" fontId="0" fillId="2" borderId="1" xfId="0" applyNumberFormat="1" applyFill="1" applyBorder="1"/>
    <xf numFmtId="43" fontId="6" fillId="2" borderId="1" xfId="1" applyFont="1" applyFill="1" applyBorder="1"/>
    <xf numFmtId="43" fontId="1" fillId="2" borderId="1" xfId="0" applyNumberFormat="1" applyFont="1" applyFill="1" applyBorder="1"/>
    <xf numFmtId="0" fontId="0" fillId="0" borderId="0" xfId="0" applyAlignment="1">
      <alignment horizontal="left" vertical="center"/>
    </xf>
    <xf numFmtId="9" fontId="0" fillId="0" borderId="1" xfId="0" applyNumberForma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43" fontId="0" fillId="0" borderId="0" xfId="1" applyFont="1"/>
    <xf numFmtId="43" fontId="0" fillId="0" borderId="0" xfId="1" applyFont="1" applyBorder="1"/>
    <xf numFmtId="43" fontId="0" fillId="0" borderId="0" xfId="1" applyFont="1" applyBorder="1" applyAlignment="1">
      <alignment horizontal="right"/>
    </xf>
    <xf numFmtId="43" fontId="8" fillId="0" borderId="0" xfId="1" applyFont="1" applyBorder="1"/>
    <xf numFmtId="0" fontId="7" fillId="3" borderId="0" xfId="1" applyNumberFormat="1" applyFont="1" applyFill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0" xfId="1" applyFont="1" applyBorder="1"/>
    <xf numFmtId="0" fontId="7" fillId="4" borderId="0" xfId="1" applyNumberFormat="1" applyFont="1" applyFill="1" applyBorder="1" applyAlignment="1">
      <alignment horizontal="center"/>
    </xf>
    <xf numFmtId="43" fontId="7" fillId="4" borderId="0" xfId="0" applyNumberFormat="1" applyFont="1" applyFill="1"/>
    <xf numFmtId="0" fontId="7" fillId="5" borderId="0" xfId="1" applyNumberFormat="1" applyFont="1" applyFill="1" applyBorder="1" applyAlignment="1">
      <alignment horizontal="center" vertical="center"/>
    </xf>
    <xf numFmtId="43" fontId="11" fillId="0" borderId="0" xfId="1" applyFont="1" applyBorder="1"/>
    <xf numFmtId="0" fontId="9" fillId="0" borderId="0" xfId="0" applyFont="1"/>
    <xf numFmtId="0" fontId="12" fillId="0" borderId="0" xfId="0" applyFont="1" applyAlignment="1">
      <alignment horizontal="right"/>
    </xf>
    <xf numFmtId="43" fontId="12" fillId="0" borderId="0" xfId="1" applyFont="1" applyBorder="1"/>
    <xf numFmtId="0" fontId="10" fillId="0" borderId="0" xfId="0" applyFont="1"/>
    <xf numFmtId="0" fontId="13" fillId="0" borderId="0" xfId="0" applyFont="1"/>
    <xf numFmtId="0" fontId="13" fillId="0" borderId="0" xfId="0" applyFont="1" applyAlignment="1">
      <alignment horizontal="right"/>
    </xf>
    <xf numFmtId="0" fontId="8" fillId="0" borderId="0" xfId="0" applyFont="1"/>
    <xf numFmtId="0" fontId="14" fillId="0" borderId="0" xfId="0" applyFont="1" applyAlignment="1">
      <alignment horizontal="right"/>
    </xf>
    <xf numFmtId="43" fontId="8" fillId="0" borderId="0" xfId="1" applyFont="1" applyFill="1" applyBorder="1" applyAlignment="1">
      <alignment horizontal="right"/>
    </xf>
    <xf numFmtId="43" fontId="15" fillId="3" borderId="0" xfId="1" applyFont="1" applyFill="1" applyBorder="1"/>
    <xf numFmtId="10" fontId="0" fillId="2" borderId="1" xfId="0" applyNumberFormat="1" applyFill="1" applyBorder="1" applyAlignment="1">
      <alignment horizontal="center"/>
    </xf>
    <xf numFmtId="0" fontId="3" fillId="3" borderId="0" xfId="0" applyFont="1" applyFill="1" applyAlignment="1">
      <alignment horizontal="left"/>
    </xf>
    <xf numFmtId="0" fontId="0" fillId="3" borderId="0" xfId="0" applyFill="1"/>
    <xf numFmtId="0" fontId="7" fillId="3" borderId="0" xfId="0" applyFont="1" applyFill="1"/>
    <xf numFmtId="0" fontId="16" fillId="7" borderId="1" xfId="0" applyFont="1" applyFill="1" applyBorder="1" applyAlignment="1" applyProtection="1">
      <alignment horizontal="center" vertical="center" wrapText="1"/>
      <protection locked="0"/>
    </xf>
    <xf numFmtId="0" fontId="17" fillId="2" borderId="6" xfId="0" applyFont="1" applyFill="1" applyBorder="1" applyAlignment="1" applyProtection="1">
      <alignment horizontal="center"/>
      <protection locked="0"/>
    </xf>
    <xf numFmtId="0" fontId="16" fillId="2" borderId="6" xfId="0" applyFont="1" applyFill="1" applyBorder="1" applyProtection="1">
      <protection locked="0"/>
    </xf>
    <xf numFmtId="14" fontId="16" fillId="2" borderId="6" xfId="0" applyNumberFormat="1" applyFont="1" applyFill="1" applyBorder="1" applyAlignment="1" applyProtection="1">
      <alignment horizontal="center"/>
      <protection locked="0"/>
    </xf>
    <xf numFmtId="43" fontId="16" fillId="2" borderId="6" xfId="1" applyFont="1" applyFill="1" applyBorder="1" applyAlignment="1" applyProtection="1">
      <alignment horizontal="center"/>
      <protection locked="0"/>
    </xf>
    <xf numFmtId="10" fontId="16" fillId="2" borderId="6" xfId="0" applyNumberFormat="1" applyFont="1" applyFill="1" applyBorder="1" applyAlignment="1" applyProtection="1">
      <alignment horizontal="center"/>
      <protection locked="0"/>
    </xf>
    <xf numFmtId="2" fontId="20" fillId="8" borderId="1" xfId="0" applyNumberFormat="1" applyFont="1" applyFill="1" applyBorder="1" applyAlignment="1" applyProtection="1">
      <alignment horizontal="center" vertical="center" wrapText="1"/>
      <protection locked="0"/>
    </xf>
    <xf numFmtId="4" fontId="21" fillId="0" borderId="6" xfId="0" applyNumberFormat="1" applyFont="1" applyBorder="1" applyProtection="1">
      <protection locked="0"/>
    </xf>
    <xf numFmtId="4" fontId="22" fillId="8" borderId="7" xfId="0" applyNumberFormat="1" applyFont="1" applyFill="1" applyBorder="1" applyProtection="1">
      <protection locked="0"/>
    </xf>
    <xf numFmtId="4" fontId="22" fillId="0" borderId="1" xfId="0" applyNumberFormat="1" applyFont="1" applyBorder="1" applyProtection="1">
      <protection locked="0"/>
    </xf>
    <xf numFmtId="4" fontId="22" fillId="8" borderId="6" xfId="0" applyNumberFormat="1" applyFont="1" applyFill="1" applyBorder="1" applyProtection="1">
      <protection locked="0"/>
    </xf>
    <xf numFmtId="0" fontId="22" fillId="0" borderId="1" xfId="3" applyFont="1" applyBorder="1" applyAlignment="1">
      <alignment horizontal="center" vertical="center" wrapText="1"/>
    </xf>
    <xf numFmtId="0" fontId="22" fillId="0" borderId="2" xfId="3" applyFont="1" applyBorder="1" applyAlignment="1">
      <alignment horizontal="center" vertical="center" wrapText="1"/>
    </xf>
    <xf numFmtId="0" fontId="22" fillId="9" borderId="8" xfId="3" applyFont="1" applyFill="1" applyBorder="1" applyAlignment="1">
      <alignment horizontal="center" vertical="center" wrapText="1"/>
    </xf>
    <xf numFmtId="0" fontId="19" fillId="0" borderId="0" xfId="3"/>
    <xf numFmtId="0" fontId="23" fillId="2" borderId="1" xfId="3" applyFont="1" applyFill="1" applyBorder="1" applyAlignment="1">
      <alignment horizontal="center"/>
    </xf>
    <xf numFmtId="164" fontId="23" fillId="2" borderId="1" xfId="3" applyNumberFormat="1" applyFont="1" applyFill="1" applyBorder="1"/>
    <xf numFmtId="164" fontId="23" fillId="0" borderId="1" xfId="3" applyNumberFormat="1" applyFont="1" applyBorder="1"/>
    <xf numFmtId="0" fontId="23" fillId="2" borderId="1" xfId="3" applyFont="1" applyFill="1" applyBorder="1"/>
    <xf numFmtId="2" fontId="24" fillId="10" borderId="1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0" xfId="0" applyNumberFormat="1" applyFont="1" applyProtection="1">
      <protection locked="0"/>
    </xf>
    <xf numFmtId="2" fontId="24" fillId="11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11" borderId="0" xfId="0" applyNumberFormat="1" applyFont="1" applyFill="1"/>
    <xf numFmtId="4" fontId="7" fillId="10" borderId="0" xfId="0" applyNumberFormat="1" applyFont="1" applyFill="1"/>
    <xf numFmtId="0" fontId="27" fillId="0" borderId="0" xfId="0" applyFont="1"/>
    <xf numFmtId="4" fontId="26" fillId="3" borderId="0" xfId="0" applyNumberFormat="1" applyFont="1" applyFill="1"/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horizontal="center"/>
    </xf>
    <xf numFmtId="0" fontId="31" fillId="0" borderId="0" xfId="0" applyFont="1"/>
    <xf numFmtId="0" fontId="18" fillId="2" borderId="0" xfId="2" applyFont="1" applyFill="1" applyAlignment="1" applyProtection="1">
      <alignment horizontal="center"/>
      <protection locked="0"/>
    </xf>
    <xf numFmtId="0" fontId="32" fillId="0" borderId="0" xfId="0" applyFont="1" applyAlignment="1">
      <alignment horizontal="left"/>
    </xf>
    <xf numFmtId="43" fontId="33" fillId="0" borderId="0" xfId="0" applyNumberFormat="1" applyFont="1"/>
    <xf numFmtId="0" fontId="34" fillId="0" borderId="0" xfId="0" applyFont="1"/>
    <xf numFmtId="43" fontId="0" fillId="0" borderId="1" xfId="1" applyFont="1" applyFill="1" applyBorder="1"/>
    <xf numFmtId="43" fontId="10" fillId="2" borderId="0" xfId="1" applyFont="1" applyFill="1" applyBorder="1"/>
    <xf numFmtId="43" fontId="8" fillId="2" borderId="0" xfId="1" applyFont="1" applyFill="1" applyBorder="1"/>
    <xf numFmtId="0" fontId="25" fillId="12" borderId="0" xfId="0" applyFont="1" applyFill="1" applyAlignment="1">
      <alignment horizontal="center" vertical="center"/>
    </xf>
    <xf numFmtId="10" fontId="0" fillId="13" borderId="1" xfId="0" applyNumberFormat="1" applyFill="1" applyBorder="1"/>
    <xf numFmtId="0" fontId="0" fillId="13" borderId="1" xfId="0" applyFill="1" applyBorder="1" applyAlignment="1">
      <alignment horizontal="center"/>
    </xf>
    <xf numFmtId="43" fontId="0" fillId="0" borderId="0" xfId="1" applyFont="1" applyFill="1" applyBorder="1"/>
    <xf numFmtId="0" fontId="7" fillId="0" borderId="0" xfId="1" applyNumberFormat="1" applyFont="1" applyFill="1" applyBorder="1" applyAlignment="1">
      <alignment horizontal="center" vertical="center"/>
    </xf>
    <xf numFmtId="43" fontId="9" fillId="0" borderId="0" xfId="1" applyFont="1" applyFill="1" applyBorder="1"/>
    <xf numFmtId="43" fontId="10" fillId="0" borderId="0" xfId="1" applyFont="1" applyFill="1" applyBorder="1"/>
    <xf numFmtId="43" fontId="8" fillId="0" borderId="0" xfId="1" applyFont="1" applyFill="1" applyBorder="1"/>
    <xf numFmtId="0" fontId="7" fillId="3" borderId="9" xfId="1" applyNumberFormat="1" applyFont="1" applyFill="1" applyBorder="1" applyAlignment="1">
      <alignment horizontal="center"/>
    </xf>
    <xf numFmtId="43" fontId="8" fillId="2" borderId="10" xfId="1" applyFont="1" applyFill="1" applyBorder="1"/>
    <xf numFmtId="43" fontId="15" fillId="3" borderId="11" xfId="1" applyFont="1" applyFill="1" applyBorder="1"/>
    <xf numFmtId="43" fontId="8" fillId="0" borderId="0" xfId="0" applyNumberFormat="1" applyFont="1"/>
    <xf numFmtId="0" fontId="8" fillId="2" borderId="0" xfId="0" applyFont="1" applyFill="1" applyAlignment="1">
      <alignment horizontal="left"/>
    </xf>
    <xf numFmtId="0" fontId="8" fillId="0" borderId="0" xfId="0" applyFont="1" applyAlignment="1">
      <alignment horizontal="right"/>
    </xf>
    <xf numFmtId="43" fontId="36" fillId="0" borderId="0" xfId="0" applyNumberFormat="1" applyFont="1" applyAlignment="1">
      <alignment horizontal="left" vertical="center"/>
    </xf>
    <xf numFmtId="43" fontId="37" fillId="0" borderId="0" xfId="0" applyNumberFormat="1" applyFont="1" applyAlignment="1">
      <alignment horizontal="left" vertical="center"/>
    </xf>
    <xf numFmtId="0" fontId="26" fillId="14" borderId="0" xfId="0" applyFont="1" applyFill="1" applyAlignment="1">
      <alignment horizontal="center"/>
    </xf>
    <xf numFmtId="49" fontId="8" fillId="2" borderId="0" xfId="0" applyNumberFormat="1" applyFont="1" applyFill="1" applyAlignment="1">
      <alignment horizontal="left"/>
    </xf>
    <xf numFmtId="43" fontId="8" fillId="0" borderId="10" xfId="1" applyFont="1" applyFill="1" applyBorder="1"/>
    <xf numFmtId="0" fontId="0" fillId="2" borderId="1" xfId="0" applyFill="1" applyBorder="1" applyAlignment="1">
      <alignment wrapText="1"/>
    </xf>
    <xf numFmtId="0" fontId="8" fillId="2" borderId="0" xfId="0" applyFont="1" applyFill="1" applyAlignment="1">
      <alignment horizontal="center"/>
    </xf>
    <xf numFmtId="0" fontId="39" fillId="0" borderId="0" xfId="4"/>
    <xf numFmtId="0" fontId="19" fillId="0" borderId="0" xfId="4" applyFont="1"/>
    <xf numFmtId="164" fontId="39" fillId="2" borderId="1" xfId="4" applyNumberFormat="1" applyFill="1" applyBorder="1"/>
    <xf numFmtId="164" fontId="39" fillId="0" borderId="1" xfId="4" applyNumberFormat="1" applyBorder="1"/>
    <xf numFmtId="0" fontId="39" fillId="0" borderId="1" xfId="4" applyBorder="1"/>
    <xf numFmtId="4" fontId="39" fillId="0" borderId="1" xfId="4" applyNumberFormat="1" applyBorder="1"/>
    <xf numFmtId="0" fontId="39" fillId="2" borderId="0" xfId="4" applyFill="1"/>
    <xf numFmtId="0" fontId="39" fillId="2" borderId="1" xfId="4" applyFill="1" applyBorder="1" applyAlignment="1">
      <alignment horizontal="center"/>
    </xf>
    <xf numFmtId="164" fontId="39" fillId="15" borderId="1" xfId="4" applyNumberFormat="1" applyFill="1" applyBorder="1"/>
    <xf numFmtId="0" fontId="39" fillId="2" borderId="4" xfId="4" applyFill="1" applyBorder="1" applyAlignment="1">
      <alignment horizontal="center"/>
    </xf>
    <xf numFmtId="43" fontId="16" fillId="2" borderId="6" xfId="5" applyFont="1" applyFill="1" applyBorder="1" applyAlignment="1" applyProtection="1">
      <alignment horizontal="center"/>
      <protection locked="0"/>
    </xf>
    <xf numFmtId="0" fontId="18" fillId="16" borderId="0" xfId="2" applyFont="1" applyFill="1" applyAlignment="1" applyProtection="1">
      <alignment horizontal="center"/>
      <protection locked="0"/>
    </xf>
    <xf numFmtId="4" fontId="23" fillId="2" borderId="1" xfId="0" applyNumberFormat="1" applyFont="1" applyFill="1" applyBorder="1"/>
    <xf numFmtId="0" fontId="40" fillId="0" borderId="0" xfId="0" applyFont="1"/>
    <xf numFmtId="43" fontId="41" fillId="17" borderId="0" xfId="5" applyFont="1" applyFill="1"/>
    <xf numFmtId="43" fontId="42" fillId="0" borderId="0" xfId="5" applyFont="1"/>
    <xf numFmtId="0" fontId="43" fillId="0" borderId="0" xfId="0" applyFont="1"/>
    <xf numFmtId="0" fontId="25" fillId="3" borderId="0" xfId="0" applyFont="1" applyFill="1" applyAlignment="1">
      <alignment horizontal="center"/>
    </xf>
    <xf numFmtId="0" fontId="25" fillId="18" borderId="0" xfId="0" applyFont="1" applyFill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4" fontId="26" fillId="19" borderId="0" xfId="0" applyNumberFormat="1" applyFont="1" applyFill="1"/>
    <xf numFmtId="0" fontId="44" fillId="0" borderId="0" xfId="0" applyFont="1"/>
    <xf numFmtId="43" fontId="45" fillId="0" borderId="0" xfId="5" applyFont="1"/>
    <xf numFmtId="0" fontId="46" fillId="0" borderId="0" xfId="0" applyFont="1"/>
    <xf numFmtId="0" fontId="46" fillId="0" borderId="8" xfId="0" applyFont="1" applyBorder="1"/>
    <xf numFmtId="43" fontId="35" fillId="4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37" fillId="0" borderId="2" xfId="0" applyFont="1" applyBorder="1" applyAlignment="1">
      <alignment horizontal="left"/>
    </xf>
    <xf numFmtId="0" fontId="37" fillId="0" borderId="3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</cellXfs>
  <cellStyles count="6">
    <cellStyle name="20% - Colore 4" xfId="2" builtinId="42"/>
    <cellStyle name="Migliaia" xfId="1" builtinId="3"/>
    <cellStyle name="Migliaia 3" xfId="5" xr:uid="{C76DEEED-5992-4BD1-996A-4998783E6335}"/>
    <cellStyle name="Normale" xfId="0" builtinId="0"/>
    <cellStyle name="Normale 2" xfId="3" xr:uid="{E374BFE3-7322-4621-A22C-EFFA5D758300}"/>
    <cellStyle name="Normale 3" xfId="4" xr:uid="{F6A918F0-1AA2-44DF-857A-99ABA8A489B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819150</xdr:colOff>
      <xdr:row>69</xdr:row>
      <xdr:rowOff>123825</xdr:rowOff>
    </xdr:from>
    <xdr:to>
      <xdr:col>6</xdr:col>
      <xdr:colOff>381000</xdr:colOff>
      <xdr:row>88</xdr:row>
      <xdr:rowOff>219075</xdr:rowOff>
    </xdr:to>
    <xdr:sp macro="" textlink="">
      <xdr:nvSpPr>
        <xdr:cNvPr id="2" name="Freccia a incrocio 1">
          <a:extLst>
            <a:ext uri="{FF2B5EF4-FFF2-40B4-BE49-F238E27FC236}">
              <a16:creationId xmlns:a16="http://schemas.microsoft.com/office/drawing/2014/main" id="{C0682C39-EEFF-4F6F-85C9-4057AECA8AE6}"/>
            </a:ext>
          </a:extLst>
        </xdr:cNvPr>
        <xdr:cNvSpPr/>
      </xdr:nvSpPr>
      <xdr:spPr>
        <a:xfrm>
          <a:off x="819150" y="16621125"/>
          <a:ext cx="7191375" cy="5057775"/>
        </a:xfrm>
        <a:prstGeom prst="quad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2</xdr:col>
      <xdr:colOff>1133475</xdr:colOff>
      <xdr:row>28</xdr:row>
      <xdr:rowOff>171450</xdr:rowOff>
    </xdr:from>
    <xdr:to>
      <xdr:col>3</xdr:col>
      <xdr:colOff>504825</xdr:colOff>
      <xdr:row>31</xdr:row>
      <xdr:rowOff>9525</xdr:rowOff>
    </xdr:to>
    <xdr:cxnSp macro="">
      <xdr:nvCxnSpPr>
        <xdr:cNvPr id="4" name="Connettore 2 3">
          <a:extLst>
            <a:ext uri="{FF2B5EF4-FFF2-40B4-BE49-F238E27FC236}">
              <a16:creationId xmlns:a16="http://schemas.microsoft.com/office/drawing/2014/main" id="{21632627-7CC2-432E-B8FE-C6C58E6C7A96}"/>
            </a:ext>
          </a:extLst>
        </xdr:cNvPr>
        <xdr:cNvCxnSpPr/>
      </xdr:nvCxnSpPr>
      <xdr:spPr>
        <a:xfrm>
          <a:off x="4305300" y="6848475"/>
          <a:ext cx="533400" cy="1095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69</xdr:row>
      <xdr:rowOff>285750</xdr:rowOff>
    </xdr:from>
    <xdr:to>
      <xdr:col>7</xdr:col>
      <xdr:colOff>342900</xdr:colOff>
      <xdr:row>88</xdr:row>
      <xdr:rowOff>381000</xdr:rowOff>
    </xdr:to>
    <xdr:sp macro="" textlink="">
      <xdr:nvSpPr>
        <xdr:cNvPr id="2" name="Freccia a incrocio 1">
          <a:extLst>
            <a:ext uri="{FF2B5EF4-FFF2-40B4-BE49-F238E27FC236}">
              <a16:creationId xmlns:a16="http://schemas.microsoft.com/office/drawing/2014/main" id="{1D29EF9B-ACC8-4979-8F32-6DA5C1112A1C}"/>
            </a:ext>
          </a:extLst>
        </xdr:cNvPr>
        <xdr:cNvSpPr/>
      </xdr:nvSpPr>
      <xdr:spPr>
        <a:xfrm>
          <a:off x="1866900" y="15516225"/>
          <a:ext cx="7038975" cy="5057775"/>
        </a:xfrm>
        <a:prstGeom prst="quad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69</xdr:row>
      <xdr:rowOff>285750</xdr:rowOff>
    </xdr:from>
    <xdr:to>
      <xdr:col>7</xdr:col>
      <xdr:colOff>342900</xdr:colOff>
      <xdr:row>88</xdr:row>
      <xdr:rowOff>381000</xdr:rowOff>
    </xdr:to>
    <xdr:sp macro="" textlink="">
      <xdr:nvSpPr>
        <xdr:cNvPr id="2" name="Freccia a incrocio 1">
          <a:extLst>
            <a:ext uri="{FF2B5EF4-FFF2-40B4-BE49-F238E27FC236}">
              <a16:creationId xmlns:a16="http://schemas.microsoft.com/office/drawing/2014/main" id="{7F4CA3A2-B9EC-410D-925A-058F760B2581}"/>
            </a:ext>
          </a:extLst>
        </xdr:cNvPr>
        <xdr:cNvSpPr/>
      </xdr:nvSpPr>
      <xdr:spPr>
        <a:xfrm>
          <a:off x="1866900" y="15516225"/>
          <a:ext cx="7038975" cy="5057775"/>
        </a:xfrm>
        <a:prstGeom prst="quad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EEP\OFFICE\Ragioneria\Personale\Conto%20annuale%201999\Dati_4_199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PESE96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zianità"/>
      <sheetName val="Assunzioni '99"/>
      <sheetName val="Posizione Economica"/>
      <sheetName val="Dipendenti_1999"/>
      <sheetName val="Titolo di studio"/>
      <sheetName val="Dipendenti per Anzianità"/>
      <sheetName val="In servizio 31.12.99"/>
      <sheetName val="Progressioni"/>
      <sheetName val="Assunti_Cessati_1999"/>
      <sheetName val="Foglio1"/>
      <sheetName val="Ore di lavoro x relazione"/>
      <sheetName val="Capitoli Intervento 1"/>
      <sheetName val="Dati Tabella 9B"/>
    </sheetNames>
    <sheetDataSet>
      <sheetData sheetId="0"/>
      <sheetData sheetId="1"/>
      <sheetData sheetId="2">
        <row r="1">
          <cell r="A1" t="str">
            <v>Livello</v>
          </cell>
          <cell r="B1" t="str">
            <v>Posizione Economica</v>
          </cell>
        </row>
        <row r="2">
          <cell r="A2">
            <v>1</v>
          </cell>
          <cell r="B2" t="str">
            <v>A1</v>
          </cell>
        </row>
        <row r="3">
          <cell r="A3">
            <v>2</v>
          </cell>
          <cell r="B3" t="str">
            <v>A1</v>
          </cell>
        </row>
        <row r="4">
          <cell r="A4" t="str">
            <v>2 d</v>
          </cell>
          <cell r="B4" t="str">
            <v>A1</v>
          </cell>
        </row>
        <row r="5">
          <cell r="A5">
            <v>3</v>
          </cell>
          <cell r="B5" t="str">
            <v>A1</v>
          </cell>
        </row>
        <row r="6">
          <cell r="A6" t="str">
            <v>3 d</v>
          </cell>
          <cell r="B6" t="str">
            <v>A2</v>
          </cell>
        </row>
        <row r="7">
          <cell r="A7">
            <v>4</v>
          </cell>
          <cell r="B7" t="str">
            <v>B1</v>
          </cell>
        </row>
        <row r="8">
          <cell r="A8" t="str">
            <v>4 d</v>
          </cell>
          <cell r="B8" t="str">
            <v>B2</v>
          </cell>
        </row>
        <row r="9">
          <cell r="A9">
            <v>5</v>
          </cell>
          <cell r="B9" t="str">
            <v>B3</v>
          </cell>
        </row>
        <row r="10">
          <cell r="A10" t="str">
            <v>5 d</v>
          </cell>
          <cell r="B10" t="str">
            <v>B4</v>
          </cell>
        </row>
        <row r="11">
          <cell r="A11" t="str">
            <v>5+integr.ta</v>
          </cell>
          <cell r="B11" t="str">
            <v>C1</v>
          </cell>
        </row>
        <row r="12">
          <cell r="A12">
            <v>6</v>
          </cell>
          <cell r="B12" t="str">
            <v>C1</v>
          </cell>
        </row>
        <row r="13">
          <cell r="A13" t="str">
            <v>6 d</v>
          </cell>
          <cell r="B13" t="str">
            <v>C2</v>
          </cell>
        </row>
        <row r="14">
          <cell r="A14" t="str">
            <v>6 d</v>
          </cell>
          <cell r="B14" t="str">
            <v>C3</v>
          </cell>
        </row>
        <row r="15">
          <cell r="A15">
            <v>7</v>
          </cell>
          <cell r="B15" t="str">
            <v>D1</v>
          </cell>
        </row>
        <row r="16">
          <cell r="A16" t="str">
            <v>7 d</v>
          </cell>
          <cell r="B16" t="str">
            <v>D2</v>
          </cell>
        </row>
        <row r="17">
          <cell r="A17">
            <v>8</v>
          </cell>
          <cell r="B17" t="str">
            <v>D3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naio"/>
      <sheetName val="Febbraio"/>
      <sheetName val="Marzo"/>
      <sheetName val="Aprile"/>
      <sheetName val="Maggio"/>
      <sheetName val="Giugno"/>
      <sheetName val="Luglio"/>
      <sheetName val="Agosto"/>
      <sheetName val="Settembre"/>
      <sheetName val="Ottobre"/>
      <sheetName val="Novembre"/>
      <sheetName val="Dicembre"/>
      <sheetName val="Riepilogo"/>
      <sheetName val="Foglio1"/>
    </sheetNames>
    <sheetDataSet>
      <sheetData sheetId="0">
        <row r="35">
          <cell r="B35">
            <v>347900</v>
          </cell>
          <cell r="C35">
            <v>40000</v>
          </cell>
          <cell r="D35">
            <v>6150</v>
          </cell>
          <cell r="E35">
            <v>165000</v>
          </cell>
          <cell r="F35">
            <v>41300</v>
          </cell>
          <cell r="G35">
            <v>11150</v>
          </cell>
          <cell r="H35">
            <v>1748900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10"/>
  <sheetViews>
    <sheetView workbookViewId="0">
      <selection activeCell="B8" sqref="B8"/>
    </sheetView>
  </sheetViews>
  <sheetFormatPr defaultRowHeight="15" x14ac:dyDescent="0.25"/>
  <cols>
    <col min="1" max="1" width="25.7109375" customWidth="1"/>
    <col min="2" max="3" width="13.28515625" bestFit="1" customWidth="1"/>
  </cols>
  <sheetData>
    <row r="3" spans="1:3" x14ac:dyDescent="0.25">
      <c r="A3" t="s">
        <v>185</v>
      </c>
    </row>
    <row r="4" spans="1:3" ht="15.75" x14ac:dyDescent="0.25">
      <c r="A4" s="139">
        <v>2018</v>
      </c>
      <c r="B4" s="137">
        <v>34</v>
      </c>
      <c r="C4" t="s">
        <v>184</v>
      </c>
    </row>
    <row r="5" spans="1:3" ht="15.75" x14ac:dyDescent="0.25">
      <c r="A5" s="139">
        <v>2019</v>
      </c>
      <c r="B5" s="138">
        <v>32</v>
      </c>
    </row>
    <row r="6" spans="1:3" ht="15.75" x14ac:dyDescent="0.25">
      <c r="A6" s="139">
        <v>2020</v>
      </c>
      <c r="B6" s="138">
        <v>31</v>
      </c>
    </row>
    <row r="7" spans="1:3" ht="15.75" x14ac:dyDescent="0.25">
      <c r="A7" s="139">
        <v>2021</v>
      </c>
      <c r="B7" s="138">
        <v>31</v>
      </c>
    </row>
    <row r="8" spans="1:3" ht="15.75" x14ac:dyDescent="0.25">
      <c r="A8" s="139">
        <v>2022</v>
      </c>
      <c r="B8" s="138">
        <v>35</v>
      </c>
    </row>
    <row r="9" spans="1:3" ht="15.75" x14ac:dyDescent="0.25">
      <c r="A9" s="139">
        <v>2023</v>
      </c>
      <c r="B9" s="138">
        <v>35</v>
      </c>
    </row>
    <row r="10" spans="1:3" ht="15.75" x14ac:dyDescent="0.25">
      <c r="A10" s="139">
        <v>2024</v>
      </c>
      <c r="B10" s="138">
        <v>35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499984740745262"/>
    <pageSetUpPr fitToPage="1"/>
  </sheetPr>
  <dimension ref="A1:K91"/>
  <sheetViews>
    <sheetView tabSelected="1" topLeftCell="A38" workbookViewId="0">
      <selection activeCell="C55" sqref="C55"/>
    </sheetView>
  </sheetViews>
  <sheetFormatPr defaultRowHeight="15" x14ac:dyDescent="0.25"/>
  <cols>
    <col min="1" max="1" width="25.140625" customWidth="1"/>
    <col min="2" max="2" width="22.42578125" customWidth="1"/>
    <col min="3" max="3" width="17.42578125" customWidth="1"/>
    <col min="4" max="4" width="18.85546875" customWidth="1"/>
    <col min="5" max="5" width="11.85546875" customWidth="1"/>
    <col min="6" max="6" width="18.7109375" customWidth="1"/>
    <col min="7" max="7" width="16.28515625" customWidth="1"/>
    <col min="8" max="8" width="14.42578125" customWidth="1"/>
    <col min="11" max="11" width="13.85546875" style="37" customWidth="1"/>
    <col min="12" max="13" width="13.85546875" customWidth="1"/>
  </cols>
  <sheetData>
    <row r="1" spans="1:9" ht="37.5" customHeight="1" x14ac:dyDescent="0.25">
      <c r="A1" s="148" t="s">
        <v>0</v>
      </c>
      <c r="B1" s="148"/>
      <c r="C1" s="148"/>
      <c r="D1" s="148"/>
      <c r="E1" s="148"/>
      <c r="F1" s="148"/>
      <c r="G1" s="148"/>
    </row>
    <row r="2" spans="1:9" x14ac:dyDescent="0.25">
      <c r="A2" s="4"/>
    </row>
    <row r="3" spans="1:9" ht="18.75" x14ac:dyDescent="0.3">
      <c r="A3" s="18" t="s">
        <v>43</v>
      </c>
      <c r="F3" s="115">
        <v>2024</v>
      </c>
    </row>
    <row r="5" spans="1:9" x14ac:dyDescent="0.25">
      <c r="A5" s="24" t="s">
        <v>1</v>
      </c>
      <c r="B5" s="28" t="s">
        <v>81</v>
      </c>
      <c r="C5" s="1"/>
    </row>
    <row r="6" spans="1:9" x14ac:dyDescent="0.25">
      <c r="A6" s="24" t="s">
        <v>2</v>
      </c>
      <c r="B6" s="28">
        <v>4500</v>
      </c>
      <c r="C6" s="1"/>
    </row>
    <row r="7" spans="1:9" x14ac:dyDescent="0.25">
      <c r="A7" s="24" t="s">
        <v>3</v>
      </c>
      <c r="B7" s="28" t="s">
        <v>82</v>
      </c>
      <c r="C7" s="1"/>
    </row>
    <row r="8" spans="1:9" x14ac:dyDescent="0.25">
      <c r="A8" s="24" t="s">
        <v>10</v>
      </c>
      <c r="B8" s="58">
        <v>0.27200000000000002</v>
      </c>
      <c r="C8" s="1"/>
    </row>
    <row r="9" spans="1:9" x14ac:dyDescent="0.25">
      <c r="A9" s="24" t="s">
        <v>11</v>
      </c>
      <c r="B9" s="58">
        <v>0.312</v>
      </c>
      <c r="C9" s="1"/>
    </row>
    <row r="10" spans="1:9" x14ac:dyDescent="0.25">
      <c r="C10" s="1"/>
    </row>
    <row r="11" spans="1:9" ht="30" x14ac:dyDescent="0.25">
      <c r="A11" s="9" t="s">
        <v>13</v>
      </c>
      <c r="B11" s="9" t="s">
        <v>14</v>
      </c>
      <c r="C11" s="11" t="s">
        <v>32</v>
      </c>
      <c r="D11" s="11" t="s">
        <v>33</v>
      </c>
      <c r="F11" s="48" t="s">
        <v>87</v>
      </c>
    </row>
    <row r="12" spans="1:9" x14ac:dyDescent="0.25">
      <c r="A12" s="8" t="s">
        <v>15</v>
      </c>
      <c r="B12" s="7" t="s">
        <v>23</v>
      </c>
      <c r="C12" s="10">
        <v>0.29499999999999998</v>
      </c>
      <c r="D12" s="10">
        <v>0.33500000000000002</v>
      </c>
      <c r="E12" s="42" t="s">
        <v>88</v>
      </c>
      <c r="F12" s="44">
        <v>2020</v>
      </c>
      <c r="G12" s="44">
        <v>2021</v>
      </c>
      <c r="H12" s="44">
        <v>2022</v>
      </c>
    </row>
    <row r="13" spans="1:9" x14ac:dyDescent="0.25">
      <c r="A13" s="7" t="s">
        <v>16</v>
      </c>
      <c r="B13" s="7" t="s">
        <v>24</v>
      </c>
      <c r="C13" s="10">
        <v>0.28599999999999998</v>
      </c>
      <c r="D13" s="10">
        <v>0.32600000000000001</v>
      </c>
      <c r="E13" s="51">
        <v>1</v>
      </c>
      <c r="F13" s="97">
        <v>8197839.1100000003</v>
      </c>
      <c r="G13" s="97">
        <v>8316115.75</v>
      </c>
      <c r="H13" s="97">
        <v>8439457.25</v>
      </c>
      <c r="I13" t="s">
        <v>150</v>
      </c>
    </row>
    <row r="14" spans="1:9" x14ac:dyDescent="0.25">
      <c r="A14" s="7" t="s">
        <v>17</v>
      </c>
      <c r="B14" s="7" t="s">
        <v>25</v>
      </c>
      <c r="C14" s="10">
        <v>0.27600000000000002</v>
      </c>
      <c r="D14" s="10">
        <v>0.316</v>
      </c>
      <c r="E14" s="51">
        <v>2</v>
      </c>
      <c r="F14" s="97">
        <v>2604932.2999999998</v>
      </c>
      <c r="G14" s="97">
        <v>1983397.79</v>
      </c>
      <c r="H14" s="97">
        <v>1482935.23</v>
      </c>
      <c r="I14" t="s">
        <v>151</v>
      </c>
    </row>
    <row r="15" spans="1:9" x14ac:dyDescent="0.25">
      <c r="A15" s="7" t="s">
        <v>18</v>
      </c>
      <c r="B15" s="7" t="s">
        <v>26</v>
      </c>
      <c r="C15" s="10">
        <v>0.27200000000000002</v>
      </c>
      <c r="D15" s="10">
        <v>0.312</v>
      </c>
      <c r="E15" s="51">
        <v>3</v>
      </c>
      <c r="F15" s="97">
        <v>1218279.05</v>
      </c>
      <c r="G15" s="97">
        <v>1416447.59</v>
      </c>
      <c r="H15" s="97">
        <v>1627319.61</v>
      </c>
      <c r="I15" t="s">
        <v>152</v>
      </c>
    </row>
    <row r="16" spans="1:9" x14ac:dyDescent="0.25">
      <c r="A16" s="7" t="s">
        <v>6</v>
      </c>
      <c r="B16" s="7" t="s">
        <v>27</v>
      </c>
      <c r="C16" s="10">
        <v>0.26900000000000002</v>
      </c>
      <c r="D16" s="10">
        <v>0.309</v>
      </c>
      <c r="E16" s="49" t="s">
        <v>83</v>
      </c>
      <c r="F16" s="50">
        <f>SUM(F13:F15)</f>
        <v>12021050.460000001</v>
      </c>
      <c r="G16" s="50">
        <f>SUM(G13:G15)</f>
        <v>11715961.129999999</v>
      </c>
      <c r="H16" s="50">
        <f>SUM(H13:H15)</f>
        <v>11549712.09</v>
      </c>
    </row>
    <row r="17" spans="1:9" x14ac:dyDescent="0.25">
      <c r="A17" s="7" t="s">
        <v>19</v>
      </c>
      <c r="B17" s="7" t="s">
        <v>28</v>
      </c>
      <c r="C17" s="10">
        <v>0.27</v>
      </c>
      <c r="D17" s="10">
        <v>0.31</v>
      </c>
      <c r="F17" s="39" t="s">
        <v>84</v>
      </c>
      <c r="G17" s="45">
        <f>SUM(F16:H16)/3</f>
        <v>11762241.226666667</v>
      </c>
    </row>
    <row r="18" spans="1:9" x14ac:dyDescent="0.25">
      <c r="A18" s="7" t="s">
        <v>20</v>
      </c>
      <c r="B18" s="7" t="s">
        <v>29</v>
      </c>
      <c r="C18" s="10">
        <v>0.27600000000000002</v>
      </c>
      <c r="D18" s="10">
        <v>0.316</v>
      </c>
      <c r="F18" s="38"/>
    </row>
    <row r="19" spans="1:9" x14ac:dyDescent="0.25">
      <c r="A19" s="7" t="s">
        <v>21</v>
      </c>
      <c r="B19" s="7" t="s">
        <v>30</v>
      </c>
      <c r="C19" s="10">
        <v>0.28799999999999998</v>
      </c>
      <c r="D19" s="10">
        <v>0.32800000000000001</v>
      </c>
    </row>
    <row r="20" spans="1:9" x14ac:dyDescent="0.25">
      <c r="A20" s="7" t="s">
        <v>22</v>
      </c>
      <c r="B20" s="7" t="s">
        <v>31</v>
      </c>
      <c r="C20" s="10">
        <v>0.253</v>
      </c>
      <c r="D20" s="10">
        <v>0.29299999999999998</v>
      </c>
      <c r="H20" s="110" t="s">
        <v>130</v>
      </c>
    </row>
    <row r="21" spans="1:9" x14ac:dyDescent="0.25">
      <c r="A21" s="5"/>
      <c r="B21" s="5"/>
      <c r="C21" s="14"/>
      <c r="D21" s="14"/>
      <c r="G21" s="112" t="s">
        <v>131</v>
      </c>
      <c r="H21" s="54" t="s">
        <v>132</v>
      </c>
    </row>
    <row r="22" spans="1:9" ht="18.75" x14ac:dyDescent="0.3">
      <c r="A22" s="17" t="s">
        <v>7</v>
      </c>
      <c r="C22" s="1"/>
      <c r="G22" s="52" t="s">
        <v>87</v>
      </c>
    </row>
    <row r="23" spans="1:9" ht="15.75" thickBot="1" x14ac:dyDescent="0.3">
      <c r="A23" s="4"/>
      <c r="C23" s="1"/>
    </row>
    <row r="24" spans="1:9" x14ac:dyDescent="0.25">
      <c r="A24" s="4"/>
      <c r="B24" s="153" t="s">
        <v>8</v>
      </c>
      <c r="C24" s="153"/>
      <c r="D24" s="6" t="s">
        <v>9</v>
      </c>
      <c r="F24" s="53" t="s">
        <v>89</v>
      </c>
      <c r="G24" s="41">
        <v>2018</v>
      </c>
      <c r="H24" s="107">
        <v>2022</v>
      </c>
      <c r="I24" t="s">
        <v>160</v>
      </c>
    </row>
    <row r="25" spans="1:9" ht="30" x14ac:dyDescent="0.25">
      <c r="A25" s="118" t="s">
        <v>177</v>
      </c>
      <c r="B25" s="23"/>
      <c r="C25" s="23">
        <f>H31</f>
        <v>1500529.17</v>
      </c>
      <c r="D25" s="2" t="s">
        <v>4</v>
      </c>
      <c r="F25" s="111" t="s">
        <v>90</v>
      </c>
      <c r="G25" s="98">
        <v>1210980.03</v>
      </c>
      <c r="H25" s="108">
        <v>1500529.17</v>
      </c>
    </row>
    <row r="26" spans="1:9" ht="30" x14ac:dyDescent="0.25">
      <c r="A26" s="118" t="s">
        <v>149</v>
      </c>
      <c r="B26" s="96">
        <f>F16</f>
        <v>12021050.460000001</v>
      </c>
      <c r="C26" s="23">
        <f>(B26+B27+B28)/3</f>
        <v>11762241.226666667</v>
      </c>
      <c r="D26" s="149" t="s">
        <v>5</v>
      </c>
      <c r="E26" s="112" t="s">
        <v>146</v>
      </c>
      <c r="F26" s="111" t="s">
        <v>60</v>
      </c>
      <c r="G26" s="98"/>
      <c r="H26" s="108"/>
      <c r="I26" s="54" t="s">
        <v>142</v>
      </c>
    </row>
    <row r="27" spans="1:9" ht="30" x14ac:dyDescent="0.25">
      <c r="A27" s="118" t="s">
        <v>157</v>
      </c>
      <c r="B27" s="96">
        <f>G16</f>
        <v>11715961.129999999</v>
      </c>
      <c r="C27" s="23"/>
      <c r="D27" s="150"/>
      <c r="E27" s="112" t="s">
        <v>146</v>
      </c>
      <c r="F27" s="111" t="s">
        <v>61</v>
      </c>
      <c r="G27" s="98"/>
      <c r="H27" s="108"/>
      <c r="I27" s="54" t="s">
        <v>143</v>
      </c>
    </row>
    <row r="28" spans="1:9" ht="30" x14ac:dyDescent="0.25">
      <c r="A28" s="118" t="s">
        <v>178</v>
      </c>
      <c r="B28" s="96">
        <f>H16</f>
        <v>11549712.09</v>
      </c>
      <c r="C28" s="23"/>
      <c r="D28" s="150"/>
      <c r="E28" s="112" t="s">
        <v>146</v>
      </c>
      <c r="F28" s="111" t="s">
        <v>62</v>
      </c>
      <c r="G28" s="98"/>
      <c r="H28" s="108"/>
      <c r="I28" s="54" t="s">
        <v>144</v>
      </c>
    </row>
    <row r="29" spans="1:9" ht="30" x14ac:dyDescent="0.25">
      <c r="A29" s="118" t="s">
        <v>179</v>
      </c>
      <c r="B29" s="22"/>
      <c r="C29" s="30">
        <v>881114.89</v>
      </c>
      <c r="D29" s="151"/>
      <c r="E29" s="112" t="s">
        <v>146</v>
      </c>
      <c r="F29" s="111" t="s">
        <v>63</v>
      </c>
      <c r="G29" s="98"/>
      <c r="H29" s="108"/>
      <c r="I29" s="54" t="s">
        <v>145</v>
      </c>
    </row>
    <row r="30" spans="1:9" ht="30" customHeight="1" x14ac:dyDescent="0.25">
      <c r="A30" s="152" t="s">
        <v>138</v>
      </c>
      <c r="B30" s="152"/>
      <c r="C30" s="25">
        <f>C25/(C26-C29)</f>
        <v>0.13790200789633267</v>
      </c>
      <c r="E30" s="112" t="s">
        <v>139</v>
      </c>
      <c r="F30" s="116" t="s">
        <v>140</v>
      </c>
      <c r="G30" s="98">
        <v>38000</v>
      </c>
      <c r="H30" s="108"/>
      <c r="I30" s="54" t="s">
        <v>141</v>
      </c>
    </row>
    <row r="31" spans="1:9" ht="39" customHeight="1" thickBot="1" x14ac:dyDescent="0.3">
      <c r="F31" s="55" t="s">
        <v>83</v>
      </c>
      <c r="G31" s="57">
        <f>SUM(G25:G30)</f>
        <v>1248980.03</v>
      </c>
      <c r="H31" s="109">
        <f>SUM(H25:H30)</f>
        <v>1500529.17</v>
      </c>
    </row>
    <row r="32" spans="1:9" ht="18.75" x14ac:dyDescent="0.3">
      <c r="A32" s="17" t="s">
        <v>12</v>
      </c>
      <c r="D32" t="s">
        <v>159</v>
      </c>
      <c r="F32" s="54"/>
      <c r="G32" s="56"/>
    </row>
    <row r="34" spans="1:7" ht="15.75" x14ac:dyDescent="0.25">
      <c r="A34" s="13" t="s">
        <v>34</v>
      </c>
    </row>
    <row r="35" spans="1:7" ht="15.75" x14ac:dyDescent="0.25">
      <c r="A35" s="13"/>
    </row>
    <row r="36" spans="1:7" ht="30" x14ac:dyDescent="0.25">
      <c r="C36" s="9" t="s">
        <v>8</v>
      </c>
      <c r="D36" s="11" t="s">
        <v>44</v>
      </c>
    </row>
    <row r="37" spans="1:7" x14ac:dyDescent="0.25">
      <c r="A37" s="160" t="s">
        <v>180</v>
      </c>
      <c r="B37" s="161"/>
      <c r="C37" s="27">
        <f>C25</f>
        <v>1500529.17</v>
      </c>
      <c r="D37" s="155" t="s">
        <v>42</v>
      </c>
    </row>
    <row r="38" spans="1:7" x14ac:dyDescent="0.25">
      <c r="A38" s="158" t="s">
        <v>35</v>
      </c>
      <c r="B38" s="159"/>
      <c r="C38" s="26">
        <f>('Calcolo capacità 2024'!C26-'Calcolo capacità 2024'!C29)*'Calcolo capacità 2024'!B8</f>
        <v>2959666.3635733332</v>
      </c>
      <c r="D38" s="155"/>
    </row>
    <row r="39" spans="1:7" x14ac:dyDescent="0.25">
      <c r="A39" s="156" t="s">
        <v>36</v>
      </c>
      <c r="B39" s="157"/>
      <c r="C39" s="21">
        <f>C38-C37</f>
        <v>1459137.1935733333</v>
      </c>
      <c r="D39" s="155"/>
    </row>
    <row r="41" spans="1:7" x14ac:dyDescent="0.25">
      <c r="A41" s="4" t="s">
        <v>46</v>
      </c>
    </row>
    <row r="42" spans="1:7" x14ac:dyDescent="0.25">
      <c r="A42" s="4"/>
    </row>
    <row r="43" spans="1:7" x14ac:dyDescent="0.25">
      <c r="A43" s="6" t="s">
        <v>13</v>
      </c>
      <c r="B43" s="6" t="s">
        <v>14</v>
      </c>
      <c r="C43" s="6" t="s">
        <v>37</v>
      </c>
      <c r="D43" s="6" t="s">
        <v>38</v>
      </c>
      <c r="E43" s="6" t="s">
        <v>39</v>
      </c>
      <c r="F43" s="6" t="s">
        <v>40</v>
      </c>
      <c r="G43" s="6" t="s">
        <v>41</v>
      </c>
    </row>
    <row r="44" spans="1:7" x14ac:dyDescent="0.25">
      <c r="A44" s="8" t="s">
        <v>15</v>
      </c>
      <c r="B44" s="7" t="s">
        <v>23</v>
      </c>
      <c r="C44" s="3">
        <v>0.23</v>
      </c>
      <c r="D44" s="3">
        <v>0.28999999999999998</v>
      </c>
      <c r="E44" s="3">
        <v>0.33</v>
      </c>
      <c r="F44" s="3">
        <v>0.34</v>
      </c>
      <c r="G44" s="3">
        <v>0.35</v>
      </c>
    </row>
    <row r="45" spans="1:7" x14ac:dyDescent="0.25">
      <c r="A45" s="7" t="s">
        <v>16</v>
      </c>
      <c r="B45" s="7" t="s">
        <v>24</v>
      </c>
      <c r="C45" s="3">
        <v>0.23</v>
      </c>
      <c r="D45" s="3">
        <v>0.28999999999999998</v>
      </c>
      <c r="E45" s="3">
        <v>0.33</v>
      </c>
      <c r="F45" s="3">
        <v>0.34</v>
      </c>
      <c r="G45" s="3">
        <v>0.35</v>
      </c>
    </row>
    <row r="46" spans="1:7" x14ac:dyDescent="0.25">
      <c r="A46" s="7" t="s">
        <v>17</v>
      </c>
      <c r="B46" s="7" t="s">
        <v>25</v>
      </c>
      <c r="C46" s="3">
        <v>0.2</v>
      </c>
      <c r="D46" s="3">
        <v>0.25</v>
      </c>
      <c r="E46" s="3">
        <v>0.28000000000000003</v>
      </c>
      <c r="F46" s="3">
        <v>0.28999999999999998</v>
      </c>
      <c r="G46" s="3">
        <v>0.3</v>
      </c>
    </row>
    <row r="47" spans="1:7" x14ac:dyDescent="0.25">
      <c r="A47" s="101" t="s">
        <v>18</v>
      </c>
      <c r="B47" s="101" t="s">
        <v>26</v>
      </c>
      <c r="C47" s="100">
        <v>0.19</v>
      </c>
      <c r="D47" s="100">
        <v>0.24</v>
      </c>
      <c r="E47" s="100">
        <v>0.26</v>
      </c>
      <c r="F47" s="100">
        <v>0.27</v>
      </c>
      <c r="G47" s="100">
        <v>0.28999999999999998</v>
      </c>
    </row>
    <row r="48" spans="1:7" x14ac:dyDescent="0.25">
      <c r="A48" s="7" t="s">
        <v>6</v>
      </c>
      <c r="B48" s="7" t="s">
        <v>27</v>
      </c>
      <c r="C48" s="3">
        <v>0.17</v>
      </c>
      <c r="D48" s="3">
        <v>0.21</v>
      </c>
      <c r="E48" s="3">
        <v>0.24</v>
      </c>
      <c r="F48" s="3">
        <v>0.25</v>
      </c>
      <c r="G48" s="3">
        <v>0.26</v>
      </c>
    </row>
    <row r="49" spans="1:7" x14ac:dyDescent="0.25">
      <c r="A49" s="7" t="s">
        <v>19</v>
      </c>
      <c r="B49" s="7" t="s">
        <v>28</v>
      </c>
      <c r="C49" s="3">
        <v>0.09</v>
      </c>
      <c r="D49" s="3">
        <v>0.16</v>
      </c>
      <c r="E49" s="3">
        <v>0.19</v>
      </c>
      <c r="F49" s="3">
        <v>0.21</v>
      </c>
      <c r="G49" s="3">
        <v>0.22</v>
      </c>
    </row>
    <row r="50" spans="1:7" x14ac:dyDescent="0.25">
      <c r="A50" s="7" t="s">
        <v>20</v>
      </c>
      <c r="B50" s="7" t="s">
        <v>29</v>
      </c>
      <c r="C50" s="3">
        <v>7.0000000000000007E-2</v>
      </c>
      <c r="D50" s="3">
        <v>0.12</v>
      </c>
      <c r="E50" s="3">
        <v>0.14000000000000001</v>
      </c>
      <c r="F50" s="3">
        <v>0.15</v>
      </c>
      <c r="G50" s="3">
        <v>0.16</v>
      </c>
    </row>
    <row r="51" spans="1:7" x14ac:dyDescent="0.25">
      <c r="A51" s="7" t="s">
        <v>21</v>
      </c>
      <c r="B51" s="7" t="s">
        <v>30</v>
      </c>
      <c r="C51" s="3">
        <v>0.03</v>
      </c>
      <c r="D51" s="3">
        <v>0.06</v>
      </c>
      <c r="E51" s="3">
        <v>0.08</v>
      </c>
      <c r="F51" s="3">
        <v>0.09</v>
      </c>
      <c r="G51" s="3">
        <v>0.1</v>
      </c>
    </row>
    <row r="52" spans="1:7" x14ac:dyDescent="0.25">
      <c r="A52" s="7" t="s">
        <v>22</v>
      </c>
      <c r="B52" s="7" t="s">
        <v>31</v>
      </c>
      <c r="C52" s="3">
        <v>1.4999999999999999E-2</v>
      </c>
      <c r="D52" s="3">
        <v>0.03</v>
      </c>
      <c r="E52" s="3">
        <v>0.04</v>
      </c>
      <c r="F52" s="3">
        <v>4.4999999999999998E-2</v>
      </c>
      <c r="G52" s="3">
        <v>0.05</v>
      </c>
    </row>
    <row r="53" spans="1:7" x14ac:dyDescent="0.25">
      <c r="A53" s="4"/>
    </row>
    <row r="54" spans="1:7" ht="30" x14ac:dyDescent="0.25">
      <c r="A54" s="153" t="s">
        <v>52</v>
      </c>
      <c r="B54" s="153"/>
      <c r="C54" s="6" t="s">
        <v>47</v>
      </c>
      <c r="D54" s="11" t="s">
        <v>44</v>
      </c>
    </row>
    <row r="55" spans="1:7" x14ac:dyDescent="0.25">
      <c r="A55" s="154" t="s">
        <v>45</v>
      </c>
      <c r="B55" s="154"/>
      <c r="C55" s="96">
        <f>G31</f>
        <v>1248980.03</v>
      </c>
      <c r="D55" s="155" t="s">
        <v>50</v>
      </c>
    </row>
    <row r="56" spans="1:7" x14ac:dyDescent="0.25">
      <c r="A56" s="154" t="s">
        <v>147</v>
      </c>
      <c r="B56" s="154"/>
      <c r="C56" s="31">
        <v>0.28999999999999998</v>
      </c>
      <c r="D56" s="155"/>
      <c r="F56" s="54" t="s">
        <v>137</v>
      </c>
    </row>
    <row r="57" spans="1:7" ht="15.75" x14ac:dyDescent="0.25">
      <c r="A57" s="154" t="s">
        <v>48</v>
      </c>
      <c r="B57" s="154"/>
      <c r="C57" s="21">
        <f>C55*C56</f>
        <v>362204.20869999996</v>
      </c>
      <c r="D57" s="155"/>
      <c r="F57" s="93" t="s">
        <v>124</v>
      </c>
      <c r="G57" s="94">
        <f>'Assunzioni TI dal 2020 - 2024'!C23</f>
        <v>324528.21579647996</v>
      </c>
    </row>
    <row r="58" spans="1:7" x14ac:dyDescent="0.25">
      <c r="A58" s="16" t="s">
        <v>49</v>
      </c>
      <c r="B58" s="16"/>
      <c r="C58" s="29">
        <v>78857.23</v>
      </c>
      <c r="D58" s="155" t="s">
        <v>51</v>
      </c>
    </row>
    <row r="59" spans="1:7" ht="15.75" x14ac:dyDescent="0.25">
      <c r="A59" s="154" t="s">
        <v>158</v>
      </c>
      <c r="B59" s="154"/>
      <c r="C59" s="21">
        <f>C57+C58</f>
        <v>441061.43869999994</v>
      </c>
      <c r="D59" s="155"/>
      <c r="F59" s="95" t="s">
        <v>125</v>
      </c>
    </row>
    <row r="60" spans="1:7" ht="18" x14ac:dyDescent="0.4">
      <c r="A60" s="12"/>
      <c r="B60" s="12"/>
      <c r="D60" s="19"/>
      <c r="F60" s="146">
        <f>C59-G57</f>
        <v>116533.22290351999</v>
      </c>
      <c r="G60" s="147"/>
    </row>
    <row r="61" spans="1:7" x14ac:dyDescent="0.25">
      <c r="A61" s="15" t="s">
        <v>53</v>
      </c>
      <c r="B61" s="12"/>
      <c r="D61" s="19"/>
    </row>
    <row r="62" spans="1:7" x14ac:dyDescent="0.25">
      <c r="A62" s="15"/>
      <c r="B62" s="119">
        <v>2023</v>
      </c>
      <c r="C62" s="98">
        <v>1666117.92</v>
      </c>
      <c r="D62" s="113" t="s">
        <v>136</v>
      </c>
    </row>
    <row r="63" spans="1:7" x14ac:dyDescent="0.25">
      <c r="A63" s="162" t="s">
        <v>134</v>
      </c>
      <c r="B63" s="163"/>
      <c r="C63" s="96">
        <f>F60+C62</f>
        <v>1782651.1429035198</v>
      </c>
      <c r="D63" s="114" t="s">
        <v>135</v>
      </c>
    </row>
    <row r="64" spans="1:7" x14ac:dyDescent="0.25">
      <c r="A64" s="156" t="s">
        <v>35</v>
      </c>
      <c r="B64" s="157"/>
      <c r="C64" s="21">
        <f>C38</f>
        <v>2959666.3635733332</v>
      </c>
      <c r="D64" s="19"/>
      <c r="F64" t="s">
        <v>126</v>
      </c>
    </row>
    <row r="65" spans="1:8" ht="15.75" x14ac:dyDescent="0.25">
      <c r="A65" s="156" t="s">
        <v>75</v>
      </c>
      <c r="B65" s="157"/>
      <c r="C65" s="21">
        <f>C63-C64</f>
        <v>-1177015.2206698135</v>
      </c>
      <c r="D65" s="34" t="s">
        <v>77</v>
      </c>
      <c r="F65" s="99" t="str">
        <f>IF(C65&lt;0,"SI","NO")</f>
        <v>SI</v>
      </c>
    </row>
    <row r="66" spans="1:8" x14ac:dyDescent="0.25">
      <c r="A66" s="20" t="s">
        <v>54</v>
      </c>
      <c r="B66" s="12"/>
      <c r="D66" s="19"/>
    </row>
    <row r="67" spans="1:8" ht="77.25" customHeight="1" x14ac:dyDescent="0.25">
      <c r="A67" s="12"/>
    </row>
    <row r="68" spans="1:8" ht="15.75" x14ac:dyDescent="0.25">
      <c r="A68" s="59" t="s">
        <v>65</v>
      </c>
      <c r="B68" s="60"/>
      <c r="C68" s="60"/>
      <c r="D68" s="60"/>
      <c r="E68" s="60"/>
      <c r="F68" s="61" t="s">
        <v>91</v>
      </c>
      <c r="G68" s="60"/>
      <c r="H68" s="60"/>
    </row>
    <row r="69" spans="1:8" ht="15.75" x14ac:dyDescent="0.25">
      <c r="A69" s="13"/>
    </row>
    <row r="70" spans="1:8" ht="30" x14ac:dyDescent="0.25">
      <c r="C70" s="9" t="s">
        <v>8</v>
      </c>
      <c r="D70" s="11" t="s">
        <v>44</v>
      </c>
    </row>
    <row r="71" spans="1:8" x14ac:dyDescent="0.25">
      <c r="A71" s="166" t="s">
        <v>58</v>
      </c>
      <c r="B71" s="167"/>
      <c r="C71" s="27">
        <f>C25</f>
        <v>1500529.17</v>
      </c>
      <c r="D71" s="155" t="s">
        <v>68</v>
      </c>
    </row>
    <row r="72" spans="1:8" ht="15" customHeight="1" x14ac:dyDescent="0.25">
      <c r="A72" s="156" t="s">
        <v>67</v>
      </c>
      <c r="B72" s="157"/>
      <c r="C72" s="26">
        <f>(B28-C29)</f>
        <v>10668597.199999999</v>
      </c>
      <c r="D72" s="155"/>
    </row>
    <row r="73" spans="1:8" ht="31.5" customHeight="1" x14ac:dyDescent="0.25">
      <c r="A73" s="164" t="s">
        <v>73</v>
      </c>
      <c r="B73" s="165"/>
      <c r="C73" s="21">
        <f>C71/C72</f>
        <v>0.14064915394874972</v>
      </c>
      <c r="D73" s="155"/>
      <c r="F73" s="38"/>
      <c r="G73" s="46">
        <v>2020</v>
      </c>
      <c r="H73" t="s">
        <v>129</v>
      </c>
    </row>
    <row r="74" spans="1:8" x14ac:dyDescent="0.25">
      <c r="F74" s="43" t="s">
        <v>85</v>
      </c>
      <c r="G74" s="97">
        <v>9194472.8699999992</v>
      </c>
    </row>
    <row r="75" spans="1:8" x14ac:dyDescent="0.25">
      <c r="A75" s="15" t="s">
        <v>53</v>
      </c>
      <c r="B75" s="12"/>
      <c r="F75" s="40" t="s">
        <v>86</v>
      </c>
      <c r="G75" s="98">
        <v>-871055.77</v>
      </c>
    </row>
    <row r="76" spans="1:8" x14ac:dyDescent="0.25">
      <c r="A76" s="15"/>
      <c r="B76" s="12"/>
      <c r="C76" s="9" t="s">
        <v>8</v>
      </c>
      <c r="F76" s="38"/>
      <c r="G76" s="38"/>
    </row>
    <row r="77" spans="1:8" ht="28.5" customHeight="1" x14ac:dyDescent="0.4">
      <c r="A77" s="164" t="s">
        <v>72</v>
      </c>
      <c r="B77" s="165"/>
      <c r="C77" s="32" t="e">
        <f>#REF!</f>
        <v>#REF!</v>
      </c>
      <c r="F77" s="38"/>
      <c r="G77" s="47">
        <f>SUM(G74:G76)</f>
        <v>8323417.0999999996</v>
      </c>
    </row>
    <row r="78" spans="1:8" ht="30" customHeight="1" x14ac:dyDescent="0.25">
      <c r="A78" s="164" t="s">
        <v>71</v>
      </c>
      <c r="B78" s="165"/>
      <c r="C78" s="33">
        <f>G77</f>
        <v>8323417.0999999996</v>
      </c>
    </row>
    <row r="79" spans="1:8" x14ac:dyDescent="0.25">
      <c r="A79" s="156" t="s">
        <v>69</v>
      </c>
      <c r="B79" s="157"/>
      <c r="C79" s="21" t="e">
        <f>C77/C78</f>
        <v>#REF!</v>
      </c>
      <c r="D79" t="s">
        <v>78</v>
      </c>
    </row>
    <row r="80" spans="1:8" x14ac:dyDescent="0.25">
      <c r="A80" s="20" t="s">
        <v>70</v>
      </c>
      <c r="B80" s="12"/>
    </row>
    <row r="82" spans="1:4" ht="15.75" x14ac:dyDescent="0.25">
      <c r="A82" s="13" t="s">
        <v>66</v>
      </c>
    </row>
    <row r="83" spans="1:4" ht="15.75" x14ac:dyDescent="0.25">
      <c r="A83" s="13"/>
    </row>
    <row r="84" spans="1:4" x14ac:dyDescent="0.25">
      <c r="A84" s="15" t="s">
        <v>53</v>
      </c>
    </row>
    <row r="85" spans="1:4" ht="30" x14ac:dyDescent="0.25">
      <c r="A85" s="15"/>
      <c r="B85" s="12"/>
      <c r="C85" s="9" t="s">
        <v>8</v>
      </c>
      <c r="D85" s="11" t="s">
        <v>44</v>
      </c>
    </row>
    <row r="86" spans="1:4" x14ac:dyDescent="0.25">
      <c r="A86" s="164" t="s">
        <v>72</v>
      </c>
      <c r="B86" s="165"/>
      <c r="C86" s="32" t="e">
        <f>#REF!</f>
        <v>#REF!</v>
      </c>
      <c r="D86" s="155" t="s">
        <v>74</v>
      </c>
    </row>
    <row r="87" spans="1:4" ht="29.25" customHeight="1" x14ac:dyDescent="0.25">
      <c r="A87" s="164" t="s">
        <v>71</v>
      </c>
      <c r="B87" s="165"/>
      <c r="C87" s="33">
        <f>C78</f>
        <v>8323417.0999999996</v>
      </c>
      <c r="D87" s="155"/>
    </row>
    <row r="88" spans="1:4" ht="30" customHeight="1" x14ac:dyDescent="0.25">
      <c r="A88" s="164" t="s">
        <v>76</v>
      </c>
      <c r="B88" s="165"/>
      <c r="C88" s="36" t="e">
        <f>C86/C87</f>
        <v>#REF!</v>
      </c>
      <c r="D88" s="155"/>
    </row>
    <row r="89" spans="1:4" ht="30.75" customHeight="1" x14ac:dyDescent="0.25">
      <c r="A89" s="164" t="s">
        <v>79</v>
      </c>
      <c r="B89" s="165"/>
      <c r="C89" s="36">
        <f>C30</f>
        <v>0.13790200789633267</v>
      </c>
      <c r="D89" s="155"/>
    </row>
    <row r="90" spans="1:4" x14ac:dyDescent="0.25">
      <c r="A90" s="154" t="s">
        <v>11</v>
      </c>
      <c r="B90" s="154"/>
      <c r="C90" s="35">
        <f>B9</f>
        <v>0.312</v>
      </c>
      <c r="D90" s="155"/>
    </row>
    <row r="91" spans="1:4" x14ac:dyDescent="0.25">
      <c r="A91" s="20" t="s">
        <v>80</v>
      </c>
    </row>
  </sheetData>
  <mergeCells count="32">
    <mergeCell ref="A89:B89"/>
    <mergeCell ref="A90:B90"/>
    <mergeCell ref="D86:D90"/>
    <mergeCell ref="A86:B86"/>
    <mergeCell ref="A87:B87"/>
    <mergeCell ref="A88:B88"/>
    <mergeCell ref="A77:B77"/>
    <mergeCell ref="A78:B78"/>
    <mergeCell ref="A79:B79"/>
    <mergeCell ref="A71:B71"/>
    <mergeCell ref="D71:D73"/>
    <mergeCell ref="A72:B72"/>
    <mergeCell ref="A73:B73"/>
    <mergeCell ref="A63:B63"/>
    <mergeCell ref="A64:B64"/>
    <mergeCell ref="A65:B65"/>
    <mergeCell ref="A57:B57"/>
    <mergeCell ref="D55:D57"/>
    <mergeCell ref="D58:D59"/>
    <mergeCell ref="A59:B59"/>
    <mergeCell ref="F60:G60"/>
    <mergeCell ref="A1:G1"/>
    <mergeCell ref="D26:D29"/>
    <mergeCell ref="A30:B30"/>
    <mergeCell ref="B24:C24"/>
    <mergeCell ref="A56:B56"/>
    <mergeCell ref="D37:D39"/>
    <mergeCell ref="A39:B39"/>
    <mergeCell ref="A38:B38"/>
    <mergeCell ref="A37:B37"/>
    <mergeCell ref="A55:B55"/>
    <mergeCell ref="A54:B54"/>
  </mergeCells>
  <phoneticPr fontId="38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6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341E5-1C16-46F9-A65F-330113C57B0F}">
  <sheetPr>
    <tabColor theme="6" tint="-0.499984740745262"/>
    <pageSetUpPr fitToPage="1"/>
  </sheetPr>
  <dimension ref="A1:K91"/>
  <sheetViews>
    <sheetView topLeftCell="A28" workbookViewId="0">
      <selection activeCell="G25" sqref="G25"/>
    </sheetView>
  </sheetViews>
  <sheetFormatPr defaultRowHeight="15" x14ac:dyDescent="0.25"/>
  <cols>
    <col min="1" max="1" width="25.140625" customWidth="1"/>
    <col min="2" max="2" width="22.42578125" customWidth="1"/>
    <col min="3" max="3" width="17.42578125" customWidth="1"/>
    <col min="4" max="4" width="18.85546875" customWidth="1"/>
    <col min="5" max="5" width="11.85546875" customWidth="1"/>
    <col min="6" max="6" width="18.7109375" customWidth="1"/>
    <col min="7" max="7" width="16.28515625" customWidth="1"/>
    <col min="8" max="8" width="14.42578125" customWidth="1"/>
    <col min="11" max="11" width="13.85546875" style="37" customWidth="1"/>
    <col min="12" max="13" width="13.85546875" customWidth="1"/>
  </cols>
  <sheetData>
    <row r="1" spans="1:8" ht="37.5" customHeight="1" x14ac:dyDescent="0.25">
      <c r="A1" s="148" t="s">
        <v>0</v>
      </c>
      <c r="B1" s="148"/>
      <c r="C1" s="148"/>
      <c r="D1" s="148"/>
      <c r="E1" s="148"/>
      <c r="F1" s="148"/>
      <c r="G1" s="148"/>
    </row>
    <row r="2" spans="1:8" x14ac:dyDescent="0.25">
      <c r="A2" s="4"/>
    </row>
    <row r="3" spans="1:8" ht="18.75" x14ac:dyDescent="0.3">
      <c r="A3" s="18" t="s">
        <v>43</v>
      </c>
      <c r="F3" s="115">
        <v>2025</v>
      </c>
    </row>
    <row r="5" spans="1:8" x14ac:dyDescent="0.25">
      <c r="A5" s="24" t="s">
        <v>1</v>
      </c>
      <c r="B5" s="28" t="s">
        <v>81</v>
      </c>
      <c r="C5" s="1"/>
    </row>
    <row r="6" spans="1:8" x14ac:dyDescent="0.25">
      <c r="A6" s="24" t="s">
        <v>2</v>
      </c>
      <c r="B6" s="28">
        <v>4500</v>
      </c>
      <c r="C6" s="1"/>
    </row>
    <row r="7" spans="1:8" x14ac:dyDescent="0.25">
      <c r="A7" s="24" t="s">
        <v>3</v>
      </c>
      <c r="B7" s="28" t="s">
        <v>82</v>
      </c>
      <c r="C7" s="1"/>
    </row>
    <row r="8" spans="1:8" x14ac:dyDescent="0.25">
      <c r="A8" s="24" t="s">
        <v>10</v>
      </c>
      <c r="B8" s="58">
        <v>0.27200000000000002</v>
      </c>
      <c r="C8" s="1"/>
    </row>
    <row r="9" spans="1:8" x14ac:dyDescent="0.25">
      <c r="A9" s="24" t="s">
        <v>11</v>
      </c>
      <c r="B9" s="58">
        <v>0.312</v>
      </c>
      <c r="C9" s="1"/>
    </row>
    <row r="10" spans="1:8" x14ac:dyDescent="0.25">
      <c r="C10" s="1"/>
    </row>
    <row r="11" spans="1:8" ht="30" x14ac:dyDescent="0.25">
      <c r="A11" s="9" t="s">
        <v>13</v>
      </c>
      <c r="B11" s="9" t="s">
        <v>14</v>
      </c>
      <c r="C11" s="11" t="s">
        <v>32</v>
      </c>
      <c r="D11" s="11" t="s">
        <v>33</v>
      </c>
      <c r="F11" s="48" t="s">
        <v>87</v>
      </c>
    </row>
    <row r="12" spans="1:8" x14ac:dyDescent="0.25">
      <c r="A12" s="8" t="s">
        <v>15</v>
      </c>
      <c r="B12" s="7" t="s">
        <v>23</v>
      </c>
      <c r="C12" s="10">
        <v>0.29499999999999998</v>
      </c>
      <c r="D12" s="10">
        <v>0.33500000000000002</v>
      </c>
      <c r="E12" s="42" t="s">
        <v>88</v>
      </c>
      <c r="F12" s="44">
        <f>'Calcolo capacità 2024'!F12</f>
        <v>2020</v>
      </c>
      <c r="G12" s="44">
        <f>'Calcolo capacità 2024'!G12</f>
        <v>2021</v>
      </c>
      <c r="H12" s="44">
        <f>'Calcolo capacità 2024'!H12</f>
        <v>2022</v>
      </c>
    </row>
    <row r="13" spans="1:8" x14ac:dyDescent="0.25">
      <c r="A13" s="7" t="s">
        <v>16</v>
      </c>
      <c r="B13" s="7" t="s">
        <v>24</v>
      </c>
      <c r="C13" s="10">
        <v>0.28599999999999998</v>
      </c>
      <c r="D13" s="10">
        <v>0.32600000000000001</v>
      </c>
      <c r="E13" s="51">
        <v>1</v>
      </c>
      <c r="F13" s="105">
        <f>'Calcolo capacità 2024'!F13</f>
        <v>8197839.1100000003</v>
      </c>
      <c r="G13" s="105">
        <f>'Calcolo capacità 2024'!G13</f>
        <v>8316115.75</v>
      </c>
      <c r="H13" s="105">
        <f>'Calcolo capacità 2024'!H13</f>
        <v>8439457.25</v>
      </c>
    </row>
    <row r="14" spans="1:8" x14ac:dyDescent="0.25">
      <c r="A14" s="7" t="s">
        <v>17</v>
      </c>
      <c r="B14" s="7" t="s">
        <v>25</v>
      </c>
      <c r="C14" s="10">
        <v>0.27600000000000002</v>
      </c>
      <c r="D14" s="10">
        <v>0.316</v>
      </c>
      <c r="E14" s="51">
        <v>2</v>
      </c>
      <c r="F14" s="105">
        <f>'Calcolo capacità 2024'!F14</f>
        <v>2604932.2999999998</v>
      </c>
      <c r="G14" s="105">
        <f>'Calcolo capacità 2024'!G14</f>
        <v>1983397.79</v>
      </c>
      <c r="H14" s="105">
        <f>'Calcolo capacità 2024'!H14</f>
        <v>1482935.23</v>
      </c>
    </row>
    <row r="15" spans="1:8" x14ac:dyDescent="0.25">
      <c r="A15" s="7" t="s">
        <v>18</v>
      </c>
      <c r="B15" s="7" t="s">
        <v>26</v>
      </c>
      <c r="C15" s="10">
        <v>0.27200000000000002</v>
      </c>
      <c r="D15" s="10">
        <v>0.312</v>
      </c>
      <c r="E15" s="51">
        <v>3</v>
      </c>
      <c r="F15" s="105">
        <f>'Calcolo capacità 2024'!F15</f>
        <v>1218279.05</v>
      </c>
      <c r="G15" s="105">
        <f>'Calcolo capacità 2024'!G15</f>
        <v>1416447.59</v>
      </c>
      <c r="H15" s="105">
        <f>'Calcolo capacità 2024'!H15</f>
        <v>1627319.61</v>
      </c>
    </row>
    <row r="16" spans="1:8" x14ac:dyDescent="0.25">
      <c r="A16" s="7" t="s">
        <v>6</v>
      </c>
      <c r="B16" s="7" t="s">
        <v>27</v>
      </c>
      <c r="C16" s="10">
        <v>0.26900000000000002</v>
      </c>
      <c r="D16" s="10">
        <v>0.309</v>
      </c>
      <c r="E16" s="49" t="s">
        <v>83</v>
      </c>
      <c r="F16" s="50">
        <f>SUM(F13:F15)</f>
        <v>12021050.460000001</v>
      </c>
      <c r="G16" s="50">
        <f>SUM(G13:G15)</f>
        <v>11715961.129999999</v>
      </c>
      <c r="H16" s="50">
        <f>SUM(H13:H15)</f>
        <v>11549712.09</v>
      </c>
    </row>
    <row r="17" spans="1:9" x14ac:dyDescent="0.25">
      <c r="A17" s="7" t="s">
        <v>19</v>
      </c>
      <c r="B17" s="7" t="s">
        <v>28</v>
      </c>
      <c r="C17" s="10">
        <v>0.27</v>
      </c>
      <c r="D17" s="10">
        <v>0.31</v>
      </c>
      <c r="F17" s="39" t="s">
        <v>84</v>
      </c>
      <c r="G17" s="45">
        <f>SUM(F16:H16)/3</f>
        <v>11762241.226666667</v>
      </c>
    </row>
    <row r="18" spans="1:9" x14ac:dyDescent="0.25">
      <c r="A18" s="7" t="s">
        <v>20</v>
      </c>
      <c r="B18" s="7" t="s">
        <v>29</v>
      </c>
      <c r="C18" s="10">
        <v>0.27600000000000002</v>
      </c>
      <c r="D18" s="10">
        <v>0.316</v>
      </c>
      <c r="F18" s="38"/>
    </row>
    <row r="19" spans="1:9" x14ac:dyDescent="0.25">
      <c r="A19" s="7" t="s">
        <v>21</v>
      </c>
      <c r="B19" s="7" t="s">
        <v>30</v>
      </c>
      <c r="C19" s="10">
        <v>0.28799999999999998</v>
      </c>
      <c r="D19" s="10">
        <v>0.32800000000000001</v>
      </c>
      <c r="F19" s="102"/>
      <c r="G19" s="103"/>
    </row>
    <row r="20" spans="1:9" x14ac:dyDescent="0.25">
      <c r="A20" s="7" t="s">
        <v>22</v>
      </c>
      <c r="B20" s="7" t="s">
        <v>31</v>
      </c>
      <c r="C20" s="10">
        <v>0.253</v>
      </c>
      <c r="D20" s="10">
        <v>0.29299999999999998</v>
      </c>
      <c r="F20" s="104"/>
      <c r="G20" s="105"/>
    </row>
    <row r="21" spans="1:9" x14ac:dyDescent="0.25">
      <c r="A21" s="5"/>
      <c r="B21" s="5"/>
      <c r="C21" s="14"/>
      <c r="D21" s="14"/>
      <c r="F21" s="106"/>
      <c r="G21" s="56"/>
      <c r="H21" s="110" t="s">
        <v>130</v>
      </c>
    </row>
    <row r="22" spans="1:9" ht="18.75" x14ac:dyDescent="0.3">
      <c r="A22" s="17" t="s">
        <v>7</v>
      </c>
      <c r="C22" s="1"/>
      <c r="G22" s="112" t="s">
        <v>131</v>
      </c>
      <c r="H22" s="54" t="s">
        <v>132</v>
      </c>
    </row>
    <row r="23" spans="1:9" ht="15.75" thickBot="1" x14ac:dyDescent="0.3">
      <c r="A23" s="4"/>
      <c r="C23" s="1"/>
      <c r="G23" s="52" t="s">
        <v>87</v>
      </c>
    </row>
    <row r="24" spans="1:9" x14ac:dyDescent="0.25">
      <c r="A24" s="4"/>
      <c r="B24" s="153" t="s">
        <v>8</v>
      </c>
      <c r="C24" s="153"/>
      <c r="D24" s="6" t="s">
        <v>9</v>
      </c>
      <c r="F24" s="53" t="s">
        <v>89</v>
      </c>
      <c r="G24" s="41">
        <v>2018</v>
      </c>
      <c r="H24" s="107">
        <f>'Calcolo capacità 2024'!H24</f>
        <v>2022</v>
      </c>
    </row>
    <row r="25" spans="1:9" ht="30" x14ac:dyDescent="0.25">
      <c r="A25" s="2" t="s">
        <v>153</v>
      </c>
      <c r="B25" s="23"/>
      <c r="C25" s="23">
        <f>H31</f>
        <v>1500529.17</v>
      </c>
      <c r="D25" s="2" t="s">
        <v>4</v>
      </c>
      <c r="F25" s="111" t="s">
        <v>90</v>
      </c>
      <c r="G25" s="98">
        <v>1210980.03</v>
      </c>
      <c r="H25" s="117">
        <f>'Calcolo capacità 2024'!H25</f>
        <v>1500529.17</v>
      </c>
    </row>
    <row r="26" spans="1:9" ht="30" x14ac:dyDescent="0.25">
      <c r="A26" s="2" t="str">
        <f>'Calcolo capacità 2024'!A26</f>
        <v>ENTRATE RENDICONTO ANNO 2020</v>
      </c>
      <c r="B26" s="96">
        <f>'Calcolo capacità 2024'!B26</f>
        <v>12021050.460000001</v>
      </c>
      <c r="C26" s="23">
        <f>(B26+B27+B28)/3</f>
        <v>11762241.226666667</v>
      </c>
      <c r="D26" s="149" t="s">
        <v>5</v>
      </c>
      <c r="F26" s="111" t="s">
        <v>60</v>
      </c>
      <c r="G26" s="98"/>
      <c r="H26" s="117">
        <f>'Calcolo capacità 2024'!H26</f>
        <v>0</v>
      </c>
      <c r="I26" s="54" t="s">
        <v>142</v>
      </c>
    </row>
    <row r="27" spans="1:9" ht="30" x14ac:dyDescent="0.25">
      <c r="A27" s="2" t="str">
        <f>'Calcolo capacità 2024'!A27</f>
        <v>ENTRATE RENDICONTO ANNO 2021</v>
      </c>
      <c r="B27" s="96">
        <f>'Calcolo capacità 2024'!B27</f>
        <v>11715961.129999999</v>
      </c>
      <c r="C27" s="23"/>
      <c r="D27" s="150"/>
      <c r="F27" s="111" t="s">
        <v>61</v>
      </c>
      <c r="G27" s="98"/>
      <c r="H27" s="117">
        <f>'Calcolo capacità 2024'!H27</f>
        <v>0</v>
      </c>
      <c r="I27" s="54" t="s">
        <v>143</v>
      </c>
    </row>
    <row r="28" spans="1:9" ht="30" x14ac:dyDescent="0.25">
      <c r="A28" s="2" t="str">
        <f>'Calcolo capacità 2024'!A28</f>
        <v>ENTRATE RENDICONTO ANNO 2022</v>
      </c>
      <c r="B28" s="96">
        <f>'Calcolo capacità 2024'!B28</f>
        <v>11549712.09</v>
      </c>
      <c r="C28" s="23"/>
      <c r="D28" s="150"/>
      <c r="F28" s="111" t="s">
        <v>62</v>
      </c>
      <c r="G28" s="98"/>
      <c r="H28" s="117">
        <f>'Calcolo capacità 2024'!H28</f>
        <v>0</v>
      </c>
      <c r="I28" s="54" t="s">
        <v>144</v>
      </c>
    </row>
    <row r="29" spans="1:9" ht="30" x14ac:dyDescent="0.25">
      <c r="A29" s="2" t="str">
        <f>'Calcolo capacità 2024'!A29</f>
        <v>FCDE PREVISIONE ASSESTATA ANNO 2022</v>
      </c>
      <c r="B29" s="22">
        <f>'Calcolo capacità 2024'!B29</f>
        <v>0</v>
      </c>
      <c r="C29" s="22">
        <f>'Calcolo capacità 2024'!C29</f>
        <v>881114.89</v>
      </c>
      <c r="D29" s="151"/>
      <c r="F29" s="111" t="s">
        <v>63</v>
      </c>
      <c r="G29" s="98"/>
      <c r="H29" s="117">
        <f>'Calcolo capacità 2024'!H29</f>
        <v>0</v>
      </c>
      <c r="I29" s="54" t="s">
        <v>145</v>
      </c>
    </row>
    <row r="30" spans="1:9" ht="24.75" customHeight="1" x14ac:dyDescent="0.25">
      <c r="A30" s="152" t="s">
        <v>138</v>
      </c>
      <c r="B30" s="152"/>
      <c r="C30" s="25">
        <f>C25/(C26-C29)</f>
        <v>0.13790200789633267</v>
      </c>
      <c r="E30" s="112" t="s">
        <v>139</v>
      </c>
      <c r="F30" s="116" t="s">
        <v>140</v>
      </c>
      <c r="G30" s="98">
        <v>38000</v>
      </c>
      <c r="H30" s="117">
        <f>'Calcolo capacità 2024'!H30</f>
        <v>0</v>
      </c>
      <c r="I30" s="54" t="s">
        <v>141</v>
      </c>
    </row>
    <row r="31" spans="1:9" ht="39" customHeight="1" thickBot="1" x14ac:dyDescent="0.3">
      <c r="F31" s="55" t="s">
        <v>83</v>
      </c>
      <c r="G31" s="57">
        <f>SUM(G25:G30)</f>
        <v>1248980.03</v>
      </c>
      <c r="H31" s="109">
        <f>SUM(H25:H30)</f>
        <v>1500529.17</v>
      </c>
    </row>
    <row r="32" spans="1:9" ht="18.75" x14ac:dyDescent="0.3">
      <c r="A32" s="17" t="s">
        <v>12</v>
      </c>
      <c r="F32" s="54"/>
    </row>
    <row r="34" spans="1:7" ht="15.75" x14ac:dyDescent="0.25">
      <c r="A34" s="13" t="s">
        <v>34</v>
      </c>
    </row>
    <row r="35" spans="1:7" ht="15.75" x14ac:dyDescent="0.25">
      <c r="A35" s="13"/>
    </row>
    <row r="36" spans="1:7" ht="30" x14ac:dyDescent="0.25">
      <c r="C36" s="9" t="s">
        <v>8</v>
      </c>
      <c r="D36" s="11" t="s">
        <v>44</v>
      </c>
    </row>
    <row r="37" spans="1:7" x14ac:dyDescent="0.25">
      <c r="A37" s="166" t="s">
        <v>154</v>
      </c>
      <c r="B37" s="167"/>
      <c r="C37" s="27">
        <f>C25</f>
        <v>1500529.17</v>
      </c>
      <c r="D37" s="155" t="s">
        <v>42</v>
      </c>
    </row>
    <row r="38" spans="1:7" x14ac:dyDescent="0.25">
      <c r="A38" s="158" t="s">
        <v>35</v>
      </c>
      <c r="B38" s="159"/>
      <c r="C38" s="26">
        <f>('Calcolo capacità 2025'!C26-'Calcolo capacità 2025'!C29)*'Calcolo capacità 2025'!B8</f>
        <v>2959666.3635733332</v>
      </c>
      <c r="D38" s="155"/>
    </row>
    <row r="39" spans="1:7" x14ac:dyDescent="0.25">
      <c r="A39" s="156" t="s">
        <v>36</v>
      </c>
      <c r="B39" s="157"/>
      <c r="C39" s="21">
        <f>C38-C37</f>
        <v>1459137.1935733333</v>
      </c>
      <c r="D39" s="155"/>
    </row>
    <row r="41" spans="1:7" x14ac:dyDescent="0.25">
      <c r="A41" s="4" t="s">
        <v>46</v>
      </c>
    </row>
    <row r="42" spans="1:7" x14ac:dyDescent="0.25">
      <c r="A42" s="4"/>
    </row>
    <row r="43" spans="1:7" x14ac:dyDescent="0.25">
      <c r="A43" s="6" t="s">
        <v>13</v>
      </c>
      <c r="B43" s="6" t="s">
        <v>14</v>
      </c>
      <c r="C43" s="6" t="s">
        <v>37</v>
      </c>
      <c r="D43" s="6" t="s">
        <v>38</v>
      </c>
      <c r="E43" s="6" t="s">
        <v>39</v>
      </c>
      <c r="F43" s="6" t="s">
        <v>40</v>
      </c>
      <c r="G43" s="6" t="s">
        <v>41</v>
      </c>
    </row>
    <row r="44" spans="1:7" x14ac:dyDescent="0.25">
      <c r="A44" s="8" t="s">
        <v>15</v>
      </c>
      <c r="B44" s="7" t="s">
        <v>23</v>
      </c>
      <c r="C44" s="3">
        <v>0.23</v>
      </c>
      <c r="D44" s="3">
        <v>0.28999999999999998</v>
      </c>
      <c r="E44" s="3">
        <v>0.33</v>
      </c>
      <c r="F44" s="3">
        <v>0.34</v>
      </c>
      <c r="G44" s="3">
        <v>0.35</v>
      </c>
    </row>
    <row r="45" spans="1:7" x14ac:dyDescent="0.25">
      <c r="A45" s="7" t="s">
        <v>16</v>
      </c>
      <c r="B45" s="7" t="s">
        <v>24</v>
      </c>
      <c r="C45" s="3">
        <v>0.23</v>
      </c>
      <c r="D45" s="3">
        <v>0.28999999999999998</v>
      </c>
      <c r="E45" s="3">
        <v>0.33</v>
      </c>
      <c r="F45" s="3">
        <v>0.34</v>
      </c>
      <c r="G45" s="3">
        <v>0.35</v>
      </c>
    </row>
    <row r="46" spans="1:7" x14ac:dyDescent="0.25">
      <c r="A46" s="7" t="s">
        <v>17</v>
      </c>
      <c r="B46" s="7" t="s">
        <v>25</v>
      </c>
      <c r="C46" s="3">
        <v>0.2</v>
      </c>
      <c r="D46" s="3">
        <v>0.25</v>
      </c>
      <c r="E46" s="3">
        <v>0.28000000000000003</v>
      </c>
      <c r="F46" s="3">
        <v>0.28999999999999998</v>
      </c>
      <c r="G46" s="3">
        <v>0.3</v>
      </c>
    </row>
    <row r="47" spans="1:7" x14ac:dyDescent="0.25">
      <c r="A47" s="101" t="s">
        <v>18</v>
      </c>
      <c r="B47" s="101" t="s">
        <v>26</v>
      </c>
      <c r="C47" s="100">
        <v>0.19</v>
      </c>
      <c r="D47" s="100">
        <v>0.24</v>
      </c>
      <c r="E47" s="100">
        <v>0.26</v>
      </c>
      <c r="F47" s="100">
        <v>0.27</v>
      </c>
      <c r="G47" s="100">
        <v>0.28999999999999998</v>
      </c>
    </row>
    <row r="48" spans="1:7" x14ac:dyDescent="0.25">
      <c r="A48" s="7" t="s">
        <v>6</v>
      </c>
      <c r="B48" s="7" t="s">
        <v>27</v>
      </c>
      <c r="C48" s="3">
        <v>0.17</v>
      </c>
      <c r="D48" s="3">
        <v>0.21</v>
      </c>
      <c r="E48" s="3">
        <v>0.24</v>
      </c>
      <c r="F48" s="3">
        <v>0.25</v>
      </c>
      <c r="G48" s="3">
        <v>0.26</v>
      </c>
    </row>
    <row r="49" spans="1:7" x14ac:dyDescent="0.25">
      <c r="A49" s="7" t="s">
        <v>19</v>
      </c>
      <c r="B49" s="7" t="s">
        <v>28</v>
      </c>
      <c r="C49" s="3">
        <v>0.09</v>
      </c>
      <c r="D49" s="3">
        <v>0.16</v>
      </c>
      <c r="E49" s="3">
        <v>0.19</v>
      </c>
      <c r="F49" s="3">
        <v>0.21</v>
      </c>
      <c r="G49" s="3">
        <v>0.22</v>
      </c>
    </row>
    <row r="50" spans="1:7" x14ac:dyDescent="0.25">
      <c r="A50" s="7" t="s">
        <v>20</v>
      </c>
      <c r="B50" s="7" t="s">
        <v>29</v>
      </c>
      <c r="C50" s="3">
        <v>7.0000000000000007E-2</v>
      </c>
      <c r="D50" s="3">
        <v>0.12</v>
      </c>
      <c r="E50" s="3">
        <v>0.14000000000000001</v>
      </c>
      <c r="F50" s="3">
        <v>0.15</v>
      </c>
      <c r="G50" s="3">
        <v>0.16</v>
      </c>
    </row>
    <row r="51" spans="1:7" x14ac:dyDescent="0.25">
      <c r="A51" s="7" t="s">
        <v>21</v>
      </c>
      <c r="B51" s="7" t="s">
        <v>30</v>
      </c>
      <c r="C51" s="3">
        <v>0.03</v>
      </c>
      <c r="D51" s="3">
        <v>0.06</v>
      </c>
      <c r="E51" s="3">
        <v>0.08</v>
      </c>
      <c r="F51" s="3">
        <v>0.09</v>
      </c>
      <c r="G51" s="3">
        <v>0.1</v>
      </c>
    </row>
    <row r="52" spans="1:7" x14ac:dyDescent="0.25">
      <c r="A52" s="7" t="s">
        <v>22</v>
      </c>
      <c r="B52" s="7" t="s">
        <v>31</v>
      </c>
      <c r="C52" s="3">
        <v>1.4999999999999999E-2</v>
      </c>
      <c r="D52" s="3">
        <v>0.03</v>
      </c>
      <c r="E52" s="3">
        <v>0.04</v>
      </c>
      <c r="F52" s="3">
        <v>4.4999999999999998E-2</v>
      </c>
      <c r="G52" s="3">
        <v>0.05</v>
      </c>
    </row>
    <row r="53" spans="1:7" x14ac:dyDescent="0.25">
      <c r="A53" s="4"/>
    </row>
    <row r="54" spans="1:7" ht="30" x14ac:dyDescent="0.25">
      <c r="A54" s="153" t="s">
        <v>52</v>
      </c>
      <c r="B54" s="153"/>
      <c r="C54" s="6" t="s">
        <v>47</v>
      </c>
      <c r="D54" s="11" t="s">
        <v>44</v>
      </c>
    </row>
    <row r="55" spans="1:7" x14ac:dyDescent="0.25">
      <c r="A55" s="154" t="s">
        <v>45</v>
      </c>
      <c r="B55" s="154"/>
      <c r="C55" s="96">
        <f>G31</f>
        <v>1248980.03</v>
      </c>
      <c r="D55" s="155" t="s">
        <v>50</v>
      </c>
    </row>
    <row r="56" spans="1:7" x14ac:dyDescent="0.25">
      <c r="A56" s="154" t="s">
        <v>147</v>
      </c>
      <c r="B56" s="154"/>
      <c r="C56" s="31">
        <v>0.28999999999999998</v>
      </c>
      <c r="D56" s="155"/>
      <c r="F56" s="54" t="s">
        <v>137</v>
      </c>
    </row>
    <row r="57" spans="1:7" ht="15.75" x14ac:dyDescent="0.25">
      <c r="A57" s="154" t="s">
        <v>48</v>
      </c>
      <c r="B57" s="154"/>
      <c r="C57" s="21">
        <f>C55*C56</f>
        <v>362204.20869999996</v>
      </c>
      <c r="D57" s="155"/>
      <c r="F57" s="93" t="s">
        <v>124</v>
      </c>
      <c r="G57" s="94">
        <f>'Assunzioni TI dal 2020 - 2025'!C23</f>
        <v>324528.21579647996</v>
      </c>
    </row>
    <row r="58" spans="1:7" x14ac:dyDescent="0.25">
      <c r="A58" s="16" t="s">
        <v>49</v>
      </c>
      <c r="B58" s="16"/>
      <c r="C58" s="29">
        <v>78857.23</v>
      </c>
      <c r="D58" s="155" t="s">
        <v>51</v>
      </c>
    </row>
    <row r="59" spans="1:7" ht="15.75" x14ac:dyDescent="0.25">
      <c r="A59" s="154" t="s">
        <v>128</v>
      </c>
      <c r="B59" s="154"/>
      <c r="C59" s="21">
        <f>C57+C58</f>
        <v>441061.43869999994</v>
      </c>
      <c r="D59" s="155"/>
      <c r="F59" s="95" t="s">
        <v>127</v>
      </c>
    </row>
    <row r="60" spans="1:7" ht="18" x14ac:dyDescent="0.4">
      <c r="A60" s="12"/>
      <c r="B60" s="12"/>
      <c r="D60" s="19"/>
      <c r="F60" s="146">
        <f>C59-G57</f>
        <v>116533.22290351999</v>
      </c>
      <c r="G60" s="147"/>
    </row>
    <row r="61" spans="1:7" x14ac:dyDescent="0.25">
      <c r="A61" s="15" t="s">
        <v>53</v>
      </c>
      <c r="B61" s="12"/>
      <c r="D61" s="19"/>
    </row>
    <row r="62" spans="1:7" x14ac:dyDescent="0.25">
      <c r="A62" s="15"/>
      <c r="B62" s="119">
        <v>2024</v>
      </c>
      <c r="C62" s="98">
        <v>1668417.92</v>
      </c>
      <c r="D62" s="113" t="s">
        <v>136</v>
      </c>
    </row>
    <row r="63" spans="1:7" x14ac:dyDescent="0.25">
      <c r="A63" s="156" t="s">
        <v>133</v>
      </c>
      <c r="B63" s="157"/>
      <c r="C63" s="96">
        <f>F60+C62</f>
        <v>1784951.1429035198</v>
      </c>
      <c r="D63" s="114" t="s">
        <v>135</v>
      </c>
    </row>
    <row r="64" spans="1:7" x14ac:dyDescent="0.25">
      <c r="A64" s="156" t="s">
        <v>35</v>
      </c>
      <c r="B64" s="157"/>
      <c r="C64" s="21">
        <f>C38</f>
        <v>2959666.3635733332</v>
      </c>
      <c r="D64" s="19"/>
      <c r="F64" t="s">
        <v>126</v>
      </c>
    </row>
    <row r="65" spans="1:8" ht="15.75" x14ac:dyDescent="0.25">
      <c r="A65" s="156" t="s">
        <v>75</v>
      </c>
      <c r="B65" s="157"/>
      <c r="C65" s="21">
        <f>C63-C64</f>
        <v>-1174715.2206698135</v>
      </c>
      <c r="D65" s="34" t="s">
        <v>77</v>
      </c>
      <c r="F65" s="99" t="str">
        <f>IF(C65&lt;0,"SI","NO")</f>
        <v>SI</v>
      </c>
    </row>
    <row r="66" spans="1:8" x14ac:dyDescent="0.25">
      <c r="A66" s="20" t="s">
        <v>54</v>
      </c>
      <c r="B66" s="12"/>
      <c r="D66" s="19"/>
    </row>
    <row r="67" spans="1:8" ht="90" customHeight="1" x14ac:dyDescent="0.25">
      <c r="A67" s="12"/>
    </row>
    <row r="68" spans="1:8" ht="15.75" x14ac:dyDescent="0.25">
      <c r="A68" s="59" t="s">
        <v>65</v>
      </c>
      <c r="B68" s="60"/>
      <c r="C68" s="60"/>
      <c r="D68" s="60"/>
      <c r="E68" s="60"/>
      <c r="F68" s="61" t="s">
        <v>91</v>
      </c>
      <c r="G68" s="60"/>
      <c r="H68" s="60"/>
    </row>
    <row r="69" spans="1:8" ht="15.75" x14ac:dyDescent="0.25">
      <c r="A69" s="13"/>
    </row>
    <row r="70" spans="1:8" ht="30" x14ac:dyDescent="0.25">
      <c r="C70" s="9" t="s">
        <v>8</v>
      </c>
      <c r="D70" s="11" t="s">
        <v>44</v>
      </c>
    </row>
    <row r="71" spans="1:8" x14ac:dyDescent="0.25">
      <c r="A71" s="166" t="s">
        <v>58</v>
      </c>
      <c r="B71" s="167"/>
      <c r="C71" s="27">
        <f>C25</f>
        <v>1500529.17</v>
      </c>
      <c r="D71" s="155" t="s">
        <v>68</v>
      </c>
    </row>
    <row r="72" spans="1:8" ht="15" customHeight="1" x14ac:dyDescent="0.25">
      <c r="A72" s="156" t="s">
        <v>67</v>
      </c>
      <c r="B72" s="157"/>
      <c r="C72" s="26">
        <f>(B28-C29)</f>
        <v>10668597.199999999</v>
      </c>
      <c r="D72" s="155"/>
    </row>
    <row r="73" spans="1:8" ht="31.5" customHeight="1" x14ac:dyDescent="0.25">
      <c r="A73" s="164" t="s">
        <v>73</v>
      </c>
      <c r="B73" s="165"/>
      <c r="C73" s="21">
        <f>C71/C72</f>
        <v>0.14064915394874972</v>
      </c>
      <c r="D73" s="155"/>
      <c r="F73" s="38"/>
      <c r="G73" s="46">
        <v>2020</v>
      </c>
      <c r="H73" t="s">
        <v>129</v>
      </c>
    </row>
    <row r="74" spans="1:8" x14ac:dyDescent="0.25">
      <c r="F74" s="43" t="s">
        <v>85</v>
      </c>
      <c r="G74" s="97">
        <v>9194472.8699999992</v>
      </c>
    </row>
    <row r="75" spans="1:8" x14ac:dyDescent="0.25">
      <c r="A75" s="15" t="s">
        <v>53</v>
      </c>
      <c r="B75" s="12"/>
      <c r="F75" s="40" t="s">
        <v>86</v>
      </c>
      <c r="G75" s="98">
        <v>-871055.77</v>
      </c>
    </row>
    <row r="76" spans="1:8" x14ac:dyDescent="0.25">
      <c r="A76" s="15"/>
      <c r="B76" s="12"/>
      <c r="C76" s="9" t="s">
        <v>8</v>
      </c>
      <c r="F76" s="38"/>
      <c r="G76" s="38"/>
    </row>
    <row r="77" spans="1:8" ht="28.5" customHeight="1" x14ac:dyDescent="0.4">
      <c r="A77" s="164" t="s">
        <v>72</v>
      </c>
      <c r="B77" s="165"/>
      <c r="C77" s="32">
        <f>H28</f>
        <v>0</v>
      </c>
      <c r="F77" s="38"/>
      <c r="G77" s="47">
        <f>SUM(G74:G76)</f>
        <v>8323417.0999999996</v>
      </c>
    </row>
    <row r="78" spans="1:8" ht="30" customHeight="1" x14ac:dyDescent="0.25">
      <c r="A78" s="164" t="s">
        <v>71</v>
      </c>
      <c r="B78" s="165"/>
      <c r="C78" s="33" t="str">
        <f>G23</f>
        <v>CALCOLI DA BILANCIO</v>
      </c>
    </row>
    <row r="79" spans="1:8" x14ac:dyDescent="0.25">
      <c r="A79" s="156" t="s">
        <v>69</v>
      </c>
      <c r="B79" s="157"/>
      <c r="C79" s="21" t="e">
        <f>C77/C78</f>
        <v>#VALUE!</v>
      </c>
      <c r="D79" t="s">
        <v>78</v>
      </c>
    </row>
    <row r="80" spans="1:8" x14ac:dyDescent="0.25">
      <c r="A80" s="20" t="s">
        <v>70</v>
      </c>
      <c r="B80" s="12"/>
    </row>
    <row r="82" spans="1:4" ht="15.75" x14ac:dyDescent="0.25">
      <c r="A82" s="13" t="s">
        <v>66</v>
      </c>
    </row>
    <row r="83" spans="1:4" ht="15.75" x14ac:dyDescent="0.25">
      <c r="A83" s="13"/>
    </row>
    <row r="84" spans="1:4" x14ac:dyDescent="0.25">
      <c r="A84" s="15" t="s">
        <v>53</v>
      </c>
    </row>
    <row r="85" spans="1:4" ht="30" x14ac:dyDescent="0.25">
      <c r="A85" s="15"/>
      <c r="B85" s="12"/>
      <c r="C85" s="9" t="s">
        <v>8</v>
      </c>
      <c r="D85" s="11" t="s">
        <v>44</v>
      </c>
    </row>
    <row r="86" spans="1:4" x14ac:dyDescent="0.25">
      <c r="A86" s="164" t="s">
        <v>72</v>
      </c>
      <c r="B86" s="165"/>
      <c r="C86" s="32">
        <f>H28</f>
        <v>0</v>
      </c>
      <c r="D86" s="155" t="s">
        <v>74</v>
      </c>
    </row>
    <row r="87" spans="1:4" ht="29.25" customHeight="1" x14ac:dyDescent="0.25">
      <c r="A87" s="164" t="s">
        <v>71</v>
      </c>
      <c r="B87" s="165"/>
      <c r="C87" s="33" t="str">
        <f>C78</f>
        <v>CALCOLI DA BILANCIO</v>
      </c>
      <c r="D87" s="155"/>
    </row>
    <row r="88" spans="1:4" ht="30" customHeight="1" x14ac:dyDescent="0.25">
      <c r="A88" s="164" t="s">
        <v>76</v>
      </c>
      <c r="B88" s="165"/>
      <c r="C88" s="36" t="e">
        <f>C86/C87</f>
        <v>#VALUE!</v>
      </c>
      <c r="D88" s="155"/>
    </row>
    <row r="89" spans="1:4" ht="30.75" customHeight="1" x14ac:dyDescent="0.25">
      <c r="A89" s="164" t="s">
        <v>79</v>
      </c>
      <c r="B89" s="165"/>
      <c r="C89" s="36">
        <f>C30</f>
        <v>0.13790200789633267</v>
      </c>
      <c r="D89" s="155"/>
    </row>
    <row r="90" spans="1:4" x14ac:dyDescent="0.25">
      <c r="A90" s="154" t="s">
        <v>11</v>
      </c>
      <c r="B90" s="154"/>
      <c r="C90" s="35">
        <f>B9</f>
        <v>0.312</v>
      </c>
      <c r="D90" s="155"/>
    </row>
    <row r="91" spans="1:4" x14ac:dyDescent="0.25">
      <c r="A91" s="20" t="s">
        <v>80</v>
      </c>
    </row>
  </sheetData>
  <mergeCells count="32">
    <mergeCell ref="A77:B77"/>
    <mergeCell ref="A78:B78"/>
    <mergeCell ref="A79:B79"/>
    <mergeCell ref="A86:B86"/>
    <mergeCell ref="D86:D90"/>
    <mergeCell ref="A87:B87"/>
    <mergeCell ref="A88:B88"/>
    <mergeCell ref="A89:B89"/>
    <mergeCell ref="A90:B90"/>
    <mergeCell ref="F60:G60"/>
    <mergeCell ref="A63:B63"/>
    <mergeCell ref="A64:B64"/>
    <mergeCell ref="A65:B65"/>
    <mergeCell ref="A71:B71"/>
    <mergeCell ref="D71:D73"/>
    <mergeCell ref="A72:B72"/>
    <mergeCell ref="A73:B73"/>
    <mergeCell ref="D58:D59"/>
    <mergeCell ref="A59:B59"/>
    <mergeCell ref="A1:G1"/>
    <mergeCell ref="B24:C24"/>
    <mergeCell ref="D26:D29"/>
    <mergeCell ref="A30:B30"/>
    <mergeCell ref="A37:B37"/>
    <mergeCell ref="D37:D39"/>
    <mergeCell ref="A38:B38"/>
    <mergeCell ref="A39:B39"/>
    <mergeCell ref="A54:B54"/>
    <mergeCell ref="A55:B55"/>
    <mergeCell ref="D55:D57"/>
    <mergeCell ref="A56:B56"/>
    <mergeCell ref="A57:B57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2C5BB-48ED-4244-AAFC-440AF432C5BF}">
  <sheetPr>
    <tabColor theme="6" tint="-0.499984740745262"/>
    <pageSetUpPr fitToPage="1"/>
  </sheetPr>
  <dimension ref="A1:K91"/>
  <sheetViews>
    <sheetView topLeftCell="A37" workbookViewId="0">
      <selection activeCell="C56" sqref="C56"/>
    </sheetView>
  </sheetViews>
  <sheetFormatPr defaultRowHeight="15" x14ac:dyDescent="0.25"/>
  <cols>
    <col min="1" max="1" width="25.140625" customWidth="1"/>
    <col min="2" max="2" width="22.42578125" customWidth="1"/>
    <col min="3" max="3" width="17.42578125" customWidth="1"/>
    <col min="4" max="4" width="18.85546875" customWidth="1"/>
    <col min="5" max="5" width="11.85546875" customWidth="1"/>
    <col min="6" max="6" width="18.7109375" customWidth="1"/>
    <col min="7" max="7" width="16.28515625" customWidth="1"/>
    <col min="8" max="8" width="14.42578125" customWidth="1"/>
    <col min="11" max="11" width="13.85546875" style="37" customWidth="1"/>
    <col min="12" max="13" width="13.85546875" customWidth="1"/>
  </cols>
  <sheetData>
    <row r="1" spans="1:8" ht="37.5" customHeight="1" x14ac:dyDescent="0.25">
      <c r="A1" s="148" t="s">
        <v>0</v>
      </c>
      <c r="B1" s="148"/>
      <c r="C1" s="148"/>
      <c r="D1" s="148"/>
      <c r="E1" s="148"/>
      <c r="F1" s="148"/>
      <c r="G1" s="148"/>
    </row>
    <row r="2" spans="1:8" x14ac:dyDescent="0.25">
      <c r="A2" s="4"/>
    </row>
    <row r="3" spans="1:8" ht="18.75" x14ac:dyDescent="0.3">
      <c r="A3" s="18" t="s">
        <v>43</v>
      </c>
      <c r="F3" s="115">
        <v>2026</v>
      </c>
    </row>
    <row r="5" spans="1:8" x14ac:dyDescent="0.25">
      <c r="A5" s="24" t="s">
        <v>1</v>
      </c>
      <c r="B5" s="28" t="s">
        <v>81</v>
      </c>
      <c r="C5" s="1"/>
    </row>
    <row r="6" spans="1:8" x14ac:dyDescent="0.25">
      <c r="A6" s="24" t="s">
        <v>2</v>
      </c>
      <c r="B6" s="28">
        <v>4500</v>
      </c>
      <c r="C6" s="1"/>
    </row>
    <row r="7" spans="1:8" x14ac:dyDescent="0.25">
      <c r="A7" s="24" t="s">
        <v>3</v>
      </c>
      <c r="B7" s="28" t="s">
        <v>82</v>
      </c>
      <c r="C7" s="1"/>
    </row>
    <row r="8" spans="1:8" x14ac:dyDescent="0.25">
      <c r="A8" s="24" t="s">
        <v>10</v>
      </c>
      <c r="B8" s="58">
        <v>0.27200000000000002</v>
      </c>
      <c r="C8" s="1"/>
    </row>
    <row r="9" spans="1:8" x14ac:dyDescent="0.25">
      <c r="A9" s="24" t="s">
        <v>11</v>
      </c>
      <c r="B9" s="58">
        <v>0.312</v>
      </c>
      <c r="C9" s="1"/>
    </row>
    <row r="10" spans="1:8" x14ac:dyDescent="0.25">
      <c r="C10" s="1"/>
    </row>
    <row r="11" spans="1:8" ht="30" x14ac:dyDescent="0.25">
      <c r="A11" s="9" t="s">
        <v>13</v>
      </c>
      <c r="B11" s="9" t="s">
        <v>14</v>
      </c>
      <c r="C11" s="11" t="s">
        <v>32</v>
      </c>
      <c r="D11" s="11" t="s">
        <v>33</v>
      </c>
      <c r="F11" s="48" t="s">
        <v>87</v>
      </c>
    </row>
    <row r="12" spans="1:8" x14ac:dyDescent="0.25">
      <c r="A12" s="8" t="s">
        <v>15</v>
      </c>
      <c r="B12" s="7" t="s">
        <v>23</v>
      </c>
      <c r="C12" s="10">
        <v>0.29499999999999998</v>
      </c>
      <c r="D12" s="10">
        <v>0.33500000000000002</v>
      </c>
      <c r="E12" s="42" t="s">
        <v>88</v>
      </c>
      <c r="F12" s="44">
        <f>'Calcolo capacità 2024'!F12</f>
        <v>2020</v>
      </c>
      <c r="G12" s="44">
        <f>'Calcolo capacità 2024'!G12</f>
        <v>2021</v>
      </c>
      <c r="H12" s="44">
        <f>'Calcolo capacità 2024'!H12</f>
        <v>2022</v>
      </c>
    </row>
    <row r="13" spans="1:8" x14ac:dyDescent="0.25">
      <c r="A13" s="7" t="s">
        <v>16</v>
      </c>
      <c r="B13" s="7" t="s">
        <v>24</v>
      </c>
      <c r="C13" s="10">
        <v>0.28599999999999998</v>
      </c>
      <c r="D13" s="10">
        <v>0.32600000000000001</v>
      </c>
      <c r="E13" s="51">
        <v>1</v>
      </c>
      <c r="F13" s="105">
        <f>'Calcolo capacità 2024'!F13</f>
        <v>8197839.1100000003</v>
      </c>
      <c r="G13" s="105">
        <f>'Calcolo capacità 2024'!G13</f>
        <v>8316115.75</v>
      </c>
      <c r="H13" s="105">
        <f>'Calcolo capacità 2024'!H13</f>
        <v>8439457.25</v>
      </c>
    </row>
    <row r="14" spans="1:8" x14ac:dyDescent="0.25">
      <c r="A14" s="7" t="s">
        <v>17</v>
      </c>
      <c r="B14" s="7" t="s">
        <v>25</v>
      </c>
      <c r="C14" s="10">
        <v>0.27600000000000002</v>
      </c>
      <c r="D14" s="10">
        <v>0.316</v>
      </c>
      <c r="E14" s="51">
        <v>2</v>
      </c>
      <c r="F14" s="105">
        <f>'Calcolo capacità 2024'!F14</f>
        <v>2604932.2999999998</v>
      </c>
      <c r="G14" s="105">
        <f>'Calcolo capacità 2024'!G14</f>
        <v>1983397.79</v>
      </c>
      <c r="H14" s="105">
        <f>'Calcolo capacità 2024'!H14</f>
        <v>1482935.23</v>
      </c>
    </row>
    <row r="15" spans="1:8" x14ac:dyDescent="0.25">
      <c r="A15" s="7" t="s">
        <v>18</v>
      </c>
      <c r="B15" s="7" t="s">
        <v>26</v>
      </c>
      <c r="C15" s="10">
        <v>0.27200000000000002</v>
      </c>
      <c r="D15" s="10">
        <v>0.312</v>
      </c>
      <c r="E15" s="51">
        <v>3</v>
      </c>
      <c r="F15" s="105">
        <f>'Calcolo capacità 2024'!F15</f>
        <v>1218279.05</v>
      </c>
      <c r="G15" s="105">
        <f>'Calcolo capacità 2024'!G15</f>
        <v>1416447.59</v>
      </c>
      <c r="H15" s="105">
        <f>'Calcolo capacità 2024'!H15</f>
        <v>1627319.61</v>
      </c>
    </row>
    <row r="16" spans="1:8" x14ac:dyDescent="0.25">
      <c r="A16" s="7" t="s">
        <v>6</v>
      </c>
      <c r="B16" s="7" t="s">
        <v>27</v>
      </c>
      <c r="C16" s="10">
        <v>0.26900000000000002</v>
      </c>
      <c r="D16" s="10">
        <v>0.309</v>
      </c>
      <c r="E16" s="49" t="s">
        <v>83</v>
      </c>
      <c r="F16" s="50">
        <f>SUM(F13:F15)</f>
        <v>12021050.460000001</v>
      </c>
      <c r="G16" s="50">
        <f>SUM(G13:G15)</f>
        <v>11715961.129999999</v>
      </c>
      <c r="H16" s="50">
        <f>SUM(H13:H15)</f>
        <v>11549712.09</v>
      </c>
    </row>
    <row r="17" spans="1:9" x14ac:dyDescent="0.25">
      <c r="A17" s="7" t="s">
        <v>19</v>
      </c>
      <c r="B17" s="7" t="s">
        <v>28</v>
      </c>
      <c r="C17" s="10">
        <v>0.27</v>
      </c>
      <c r="D17" s="10">
        <v>0.31</v>
      </c>
      <c r="F17" s="39" t="s">
        <v>84</v>
      </c>
      <c r="G17" s="45">
        <f>SUM(F16:H16)/3</f>
        <v>11762241.226666667</v>
      </c>
    </row>
    <row r="18" spans="1:9" x14ac:dyDescent="0.25">
      <c r="A18" s="7" t="s">
        <v>20</v>
      </c>
      <c r="B18" s="7" t="s">
        <v>29</v>
      </c>
      <c r="C18" s="10">
        <v>0.27600000000000002</v>
      </c>
      <c r="D18" s="10">
        <v>0.316</v>
      </c>
      <c r="F18" s="38"/>
    </row>
    <row r="19" spans="1:9" x14ac:dyDescent="0.25">
      <c r="A19" s="7" t="s">
        <v>21</v>
      </c>
      <c r="B19" s="7" t="s">
        <v>30</v>
      </c>
      <c r="C19" s="10">
        <v>0.28799999999999998</v>
      </c>
      <c r="D19" s="10">
        <v>0.32800000000000001</v>
      </c>
      <c r="F19" s="102"/>
      <c r="G19" s="103"/>
    </row>
    <row r="20" spans="1:9" x14ac:dyDescent="0.25">
      <c r="A20" s="7" t="s">
        <v>22</v>
      </c>
      <c r="B20" s="7" t="s">
        <v>31</v>
      </c>
      <c r="C20" s="10">
        <v>0.253</v>
      </c>
      <c r="D20" s="10">
        <v>0.29299999999999998</v>
      </c>
      <c r="F20" s="104"/>
      <c r="G20" s="105"/>
    </row>
    <row r="21" spans="1:9" x14ac:dyDescent="0.25">
      <c r="A21" s="5"/>
      <c r="B21" s="5"/>
      <c r="C21" s="14"/>
      <c r="D21" s="14"/>
      <c r="F21" s="106"/>
      <c r="G21" s="56"/>
      <c r="H21" s="110" t="s">
        <v>130</v>
      </c>
    </row>
    <row r="22" spans="1:9" ht="18.75" x14ac:dyDescent="0.3">
      <c r="A22" s="17" t="s">
        <v>7</v>
      </c>
      <c r="C22" s="1"/>
      <c r="G22" s="112" t="s">
        <v>131</v>
      </c>
      <c r="H22" s="54" t="s">
        <v>132</v>
      </c>
    </row>
    <row r="23" spans="1:9" ht="15.75" thickBot="1" x14ac:dyDescent="0.3">
      <c r="A23" s="4"/>
      <c r="C23" s="1"/>
      <c r="G23" s="52" t="s">
        <v>87</v>
      </c>
    </row>
    <row r="24" spans="1:9" x14ac:dyDescent="0.25">
      <c r="A24" s="4"/>
      <c r="B24" s="153" t="s">
        <v>8</v>
      </c>
      <c r="C24" s="153"/>
      <c r="D24" s="6" t="s">
        <v>9</v>
      </c>
      <c r="F24" s="53" t="s">
        <v>89</v>
      </c>
      <c r="G24" s="41">
        <v>2018</v>
      </c>
      <c r="H24" s="107">
        <f>'Calcolo capacità 2024'!H24</f>
        <v>2022</v>
      </c>
    </row>
    <row r="25" spans="1:9" ht="30" x14ac:dyDescent="0.25">
      <c r="A25" s="2" t="s">
        <v>153</v>
      </c>
      <c r="B25" s="23"/>
      <c r="C25" s="23">
        <f>H31</f>
        <v>1500529.17</v>
      </c>
      <c r="D25" s="2" t="s">
        <v>4</v>
      </c>
      <c r="F25" s="111" t="s">
        <v>90</v>
      </c>
      <c r="G25" s="98">
        <v>1210980.03</v>
      </c>
      <c r="H25" s="117">
        <f>'Calcolo capacità 2024'!H25</f>
        <v>1500529.17</v>
      </c>
    </row>
    <row r="26" spans="1:9" ht="30" x14ac:dyDescent="0.25">
      <c r="A26" s="2" t="s">
        <v>55</v>
      </c>
      <c r="B26" s="96">
        <f>F16</f>
        <v>12021050.460000001</v>
      </c>
      <c r="C26" s="23">
        <f>(B26+B27+B28)/3</f>
        <v>11762241.226666667</v>
      </c>
      <c r="D26" s="149" t="s">
        <v>5</v>
      </c>
      <c r="F26" s="111" t="s">
        <v>60</v>
      </c>
      <c r="G26" s="98"/>
      <c r="H26" s="117">
        <f>'Calcolo capacità 2024'!H26</f>
        <v>0</v>
      </c>
      <c r="I26" s="54" t="s">
        <v>142</v>
      </c>
    </row>
    <row r="27" spans="1:9" ht="30" x14ac:dyDescent="0.25">
      <c r="A27" s="2" t="s">
        <v>56</v>
      </c>
      <c r="B27" s="96">
        <f>G16</f>
        <v>11715961.129999999</v>
      </c>
      <c r="C27" s="23"/>
      <c r="D27" s="150"/>
      <c r="F27" s="111" t="s">
        <v>61</v>
      </c>
      <c r="G27" s="98"/>
      <c r="H27" s="117">
        <f>'Calcolo capacità 2024'!H27</f>
        <v>0</v>
      </c>
      <c r="I27" s="54" t="s">
        <v>143</v>
      </c>
    </row>
    <row r="28" spans="1:9" ht="30" x14ac:dyDescent="0.25">
      <c r="A28" s="2" t="s">
        <v>57</v>
      </c>
      <c r="B28" s="96">
        <f>H16</f>
        <v>11549712.09</v>
      </c>
      <c r="C28" s="23"/>
      <c r="D28" s="150"/>
      <c r="F28" s="111" t="s">
        <v>62</v>
      </c>
      <c r="G28" s="98"/>
      <c r="H28" s="117">
        <f>'Calcolo capacità 2024'!H28</f>
        <v>0</v>
      </c>
      <c r="I28" s="54" t="s">
        <v>144</v>
      </c>
    </row>
    <row r="29" spans="1:9" ht="30" x14ac:dyDescent="0.25">
      <c r="A29" s="2" t="str">
        <f>'Calcolo capacità 2024'!A29</f>
        <v>FCDE PREVISIONE ASSESTATA ANNO 2022</v>
      </c>
      <c r="B29" s="22">
        <f>'Calcolo capacità 2024'!B29</f>
        <v>0</v>
      </c>
      <c r="C29" s="22">
        <f>'Calcolo capacità 2024'!C29</f>
        <v>881114.89</v>
      </c>
      <c r="D29" s="151"/>
      <c r="F29" s="111" t="s">
        <v>63</v>
      </c>
      <c r="G29" s="98"/>
      <c r="H29" s="117">
        <f>'Calcolo capacità 2024'!H29</f>
        <v>0</v>
      </c>
      <c r="I29" s="54" t="s">
        <v>145</v>
      </c>
    </row>
    <row r="30" spans="1:9" ht="28.5" customHeight="1" x14ac:dyDescent="0.25">
      <c r="A30" s="152" t="s">
        <v>138</v>
      </c>
      <c r="B30" s="152"/>
      <c r="C30" s="25">
        <f>C25/(C26-C29)</f>
        <v>0.13790200789633267</v>
      </c>
      <c r="E30" s="112" t="s">
        <v>139</v>
      </c>
      <c r="F30" s="116" t="s">
        <v>140</v>
      </c>
      <c r="G30" s="98">
        <v>38000</v>
      </c>
      <c r="H30" s="117">
        <f>'Calcolo capacità 2024'!H30</f>
        <v>0</v>
      </c>
      <c r="I30" s="54" t="s">
        <v>141</v>
      </c>
    </row>
    <row r="31" spans="1:9" ht="39" customHeight="1" thickBot="1" x14ac:dyDescent="0.3">
      <c r="F31" s="55" t="s">
        <v>83</v>
      </c>
      <c r="G31" s="57">
        <f>SUM(G25:G30)</f>
        <v>1248980.03</v>
      </c>
      <c r="H31" s="109">
        <f>SUM(H25:H30)</f>
        <v>1500529.17</v>
      </c>
    </row>
    <row r="32" spans="1:9" ht="18.75" x14ac:dyDescent="0.3">
      <c r="A32" s="17" t="s">
        <v>12</v>
      </c>
      <c r="F32" s="54"/>
    </row>
    <row r="34" spans="1:7" ht="15.75" x14ac:dyDescent="0.25">
      <c r="A34" s="13" t="s">
        <v>34</v>
      </c>
    </row>
    <row r="35" spans="1:7" ht="15.75" x14ac:dyDescent="0.25">
      <c r="A35" s="13"/>
    </row>
    <row r="36" spans="1:7" ht="30" x14ac:dyDescent="0.25">
      <c r="C36" s="9" t="s">
        <v>8</v>
      </c>
      <c r="D36" s="11" t="s">
        <v>44</v>
      </c>
    </row>
    <row r="37" spans="1:7" x14ac:dyDescent="0.25">
      <c r="A37" s="166" t="s">
        <v>154</v>
      </c>
      <c r="B37" s="167"/>
      <c r="C37" s="27">
        <f>C25</f>
        <v>1500529.17</v>
      </c>
      <c r="D37" s="155" t="s">
        <v>42</v>
      </c>
    </row>
    <row r="38" spans="1:7" x14ac:dyDescent="0.25">
      <c r="A38" s="158" t="s">
        <v>35</v>
      </c>
      <c r="B38" s="159"/>
      <c r="C38" s="26">
        <f>('Calcolo capacità 2026'!C26-'Calcolo capacità 2026'!C29)*'Calcolo capacità 2026'!B8</f>
        <v>2959666.3635733332</v>
      </c>
      <c r="D38" s="155"/>
    </row>
    <row r="39" spans="1:7" x14ac:dyDescent="0.25">
      <c r="A39" s="156" t="s">
        <v>36</v>
      </c>
      <c r="B39" s="157"/>
      <c r="C39" s="21">
        <f>C38-C37</f>
        <v>1459137.1935733333</v>
      </c>
      <c r="D39" s="155"/>
    </row>
    <row r="41" spans="1:7" x14ac:dyDescent="0.25">
      <c r="A41" s="4" t="s">
        <v>46</v>
      </c>
    </row>
    <row r="42" spans="1:7" x14ac:dyDescent="0.25">
      <c r="A42" s="4"/>
    </row>
    <row r="43" spans="1:7" x14ac:dyDescent="0.25">
      <c r="A43" s="6" t="s">
        <v>13</v>
      </c>
      <c r="B43" s="6" t="s">
        <v>14</v>
      </c>
      <c r="C43" s="6" t="s">
        <v>37</v>
      </c>
      <c r="D43" s="6" t="s">
        <v>38</v>
      </c>
      <c r="E43" s="6" t="s">
        <v>39</v>
      </c>
      <c r="F43" s="6" t="s">
        <v>40</v>
      </c>
      <c r="G43" s="6" t="s">
        <v>41</v>
      </c>
    </row>
    <row r="44" spans="1:7" x14ac:dyDescent="0.25">
      <c r="A44" s="8" t="s">
        <v>15</v>
      </c>
      <c r="B44" s="7" t="s">
        <v>23</v>
      </c>
      <c r="C44" s="3">
        <v>0.23</v>
      </c>
      <c r="D44" s="3">
        <v>0.28999999999999998</v>
      </c>
      <c r="E44" s="3">
        <v>0.33</v>
      </c>
      <c r="F44" s="3">
        <v>0.34</v>
      </c>
      <c r="G44" s="3">
        <v>0.35</v>
      </c>
    </row>
    <row r="45" spans="1:7" x14ac:dyDescent="0.25">
      <c r="A45" s="7" t="s">
        <v>16</v>
      </c>
      <c r="B45" s="7" t="s">
        <v>24</v>
      </c>
      <c r="C45" s="3">
        <v>0.23</v>
      </c>
      <c r="D45" s="3">
        <v>0.28999999999999998</v>
      </c>
      <c r="E45" s="3">
        <v>0.33</v>
      </c>
      <c r="F45" s="3">
        <v>0.34</v>
      </c>
      <c r="G45" s="3">
        <v>0.35</v>
      </c>
    </row>
    <row r="46" spans="1:7" x14ac:dyDescent="0.25">
      <c r="A46" s="7" t="s">
        <v>17</v>
      </c>
      <c r="B46" s="7" t="s">
        <v>25</v>
      </c>
      <c r="C46" s="3">
        <v>0.2</v>
      </c>
      <c r="D46" s="3">
        <v>0.25</v>
      </c>
      <c r="E46" s="3">
        <v>0.28000000000000003</v>
      </c>
      <c r="F46" s="3">
        <v>0.28999999999999998</v>
      </c>
      <c r="G46" s="3">
        <v>0.3</v>
      </c>
    </row>
    <row r="47" spans="1:7" x14ac:dyDescent="0.25">
      <c r="A47" s="101" t="s">
        <v>18</v>
      </c>
      <c r="B47" s="101" t="s">
        <v>26</v>
      </c>
      <c r="C47" s="100">
        <v>0.19</v>
      </c>
      <c r="D47" s="100">
        <v>0.24</v>
      </c>
      <c r="E47" s="100">
        <v>0.26</v>
      </c>
      <c r="F47" s="100">
        <v>0.27</v>
      </c>
      <c r="G47" s="100">
        <v>0.28999999999999998</v>
      </c>
    </row>
    <row r="48" spans="1:7" x14ac:dyDescent="0.25">
      <c r="A48" s="7" t="s">
        <v>6</v>
      </c>
      <c r="B48" s="7" t="s">
        <v>27</v>
      </c>
      <c r="C48" s="3">
        <v>0.17</v>
      </c>
      <c r="D48" s="3">
        <v>0.21</v>
      </c>
      <c r="E48" s="3">
        <v>0.24</v>
      </c>
      <c r="F48" s="3">
        <v>0.25</v>
      </c>
      <c r="G48" s="3">
        <v>0.26</v>
      </c>
    </row>
    <row r="49" spans="1:7" x14ac:dyDescent="0.25">
      <c r="A49" s="7" t="s">
        <v>19</v>
      </c>
      <c r="B49" s="7" t="s">
        <v>28</v>
      </c>
      <c r="C49" s="3">
        <v>0.09</v>
      </c>
      <c r="D49" s="3">
        <v>0.16</v>
      </c>
      <c r="E49" s="3">
        <v>0.19</v>
      </c>
      <c r="F49" s="3">
        <v>0.21</v>
      </c>
      <c r="G49" s="3">
        <v>0.22</v>
      </c>
    </row>
    <row r="50" spans="1:7" x14ac:dyDescent="0.25">
      <c r="A50" s="7" t="s">
        <v>20</v>
      </c>
      <c r="B50" s="7" t="s">
        <v>29</v>
      </c>
      <c r="C50" s="3">
        <v>7.0000000000000007E-2</v>
      </c>
      <c r="D50" s="3">
        <v>0.12</v>
      </c>
      <c r="E50" s="3">
        <v>0.14000000000000001</v>
      </c>
      <c r="F50" s="3">
        <v>0.15</v>
      </c>
      <c r="G50" s="3">
        <v>0.16</v>
      </c>
    </row>
    <row r="51" spans="1:7" x14ac:dyDescent="0.25">
      <c r="A51" s="7" t="s">
        <v>21</v>
      </c>
      <c r="B51" s="7" t="s">
        <v>30</v>
      </c>
      <c r="C51" s="3">
        <v>0.03</v>
      </c>
      <c r="D51" s="3">
        <v>0.06</v>
      </c>
      <c r="E51" s="3">
        <v>0.08</v>
      </c>
      <c r="F51" s="3">
        <v>0.09</v>
      </c>
      <c r="G51" s="3">
        <v>0.1</v>
      </c>
    </row>
    <row r="52" spans="1:7" x14ac:dyDescent="0.25">
      <c r="A52" s="7" t="s">
        <v>22</v>
      </c>
      <c r="B52" s="7" t="s">
        <v>31</v>
      </c>
      <c r="C52" s="3">
        <v>1.4999999999999999E-2</v>
      </c>
      <c r="D52" s="3">
        <v>0.03</v>
      </c>
      <c r="E52" s="3">
        <v>0.04</v>
      </c>
      <c r="F52" s="3">
        <v>4.4999999999999998E-2</v>
      </c>
      <c r="G52" s="3">
        <v>0.05</v>
      </c>
    </row>
    <row r="53" spans="1:7" x14ac:dyDescent="0.25">
      <c r="A53" s="4"/>
    </row>
    <row r="54" spans="1:7" ht="30" x14ac:dyDescent="0.25">
      <c r="A54" s="153" t="s">
        <v>52</v>
      </c>
      <c r="B54" s="153"/>
      <c r="C54" s="6" t="s">
        <v>47</v>
      </c>
      <c r="D54" s="11" t="s">
        <v>44</v>
      </c>
    </row>
    <row r="55" spans="1:7" x14ac:dyDescent="0.25">
      <c r="A55" s="154" t="s">
        <v>45</v>
      </c>
      <c r="B55" s="154"/>
      <c r="C55" s="96">
        <f>G31</f>
        <v>1248980.03</v>
      </c>
      <c r="D55" s="155" t="s">
        <v>50</v>
      </c>
    </row>
    <row r="56" spans="1:7" x14ac:dyDescent="0.25">
      <c r="A56" s="154" t="s">
        <v>148</v>
      </c>
      <c r="B56" s="154"/>
      <c r="C56" s="31">
        <v>0.28999999999999998</v>
      </c>
      <c r="D56" s="155"/>
      <c r="F56" s="54" t="s">
        <v>137</v>
      </c>
    </row>
    <row r="57" spans="1:7" ht="15.75" x14ac:dyDescent="0.25">
      <c r="A57" s="154" t="s">
        <v>48</v>
      </c>
      <c r="B57" s="154"/>
      <c r="C57" s="21">
        <f>C55*C56</f>
        <v>362204.20869999996</v>
      </c>
      <c r="D57" s="155"/>
      <c r="F57" s="93" t="s">
        <v>124</v>
      </c>
      <c r="G57" s="94">
        <f>'Assunzioni TI dal 2020 - 2026'!C23</f>
        <v>324528.21579647996</v>
      </c>
    </row>
    <row r="58" spans="1:7" x14ac:dyDescent="0.25">
      <c r="A58" s="16" t="s">
        <v>49</v>
      </c>
      <c r="B58" s="16"/>
      <c r="C58" s="29">
        <v>78857.23</v>
      </c>
      <c r="D58" s="155" t="s">
        <v>51</v>
      </c>
    </row>
    <row r="59" spans="1:7" ht="15.75" x14ac:dyDescent="0.25">
      <c r="A59" s="154" t="s">
        <v>155</v>
      </c>
      <c r="B59" s="154"/>
      <c r="C59" s="21">
        <f>C57+C58</f>
        <v>441061.43869999994</v>
      </c>
      <c r="D59" s="155"/>
      <c r="F59" s="95" t="s">
        <v>125</v>
      </c>
    </row>
    <row r="60" spans="1:7" ht="18" x14ac:dyDescent="0.4">
      <c r="A60" s="12"/>
      <c r="B60" s="12"/>
      <c r="D60" s="19"/>
      <c r="F60" s="146">
        <f>C59-G57</f>
        <v>116533.22290351999</v>
      </c>
      <c r="G60" s="147"/>
    </row>
    <row r="61" spans="1:7" x14ac:dyDescent="0.25">
      <c r="A61" s="15" t="s">
        <v>53</v>
      </c>
      <c r="B61" s="12"/>
      <c r="D61" s="19"/>
    </row>
    <row r="62" spans="1:7" x14ac:dyDescent="0.25">
      <c r="A62" s="15"/>
      <c r="B62" s="119">
        <v>2025</v>
      </c>
      <c r="C62" s="98">
        <v>1659717.92</v>
      </c>
      <c r="D62" s="113" t="s">
        <v>136</v>
      </c>
    </row>
    <row r="63" spans="1:7" x14ac:dyDescent="0.25">
      <c r="A63" s="156" t="s">
        <v>59</v>
      </c>
      <c r="B63" s="157"/>
      <c r="C63" s="96">
        <f>F60+C62</f>
        <v>1776251.1429035198</v>
      </c>
      <c r="D63" s="114" t="s">
        <v>135</v>
      </c>
    </row>
    <row r="64" spans="1:7" x14ac:dyDescent="0.25">
      <c r="A64" s="156" t="s">
        <v>35</v>
      </c>
      <c r="B64" s="157"/>
      <c r="C64" s="21">
        <f>C38</f>
        <v>2959666.3635733332</v>
      </c>
      <c r="D64" s="19"/>
      <c r="F64" t="s">
        <v>126</v>
      </c>
    </row>
    <row r="65" spans="1:8" ht="15.75" x14ac:dyDescent="0.25">
      <c r="A65" s="156" t="s">
        <v>75</v>
      </c>
      <c r="B65" s="157"/>
      <c r="C65" s="21">
        <f>C63-C64</f>
        <v>-1183415.2206698135</v>
      </c>
      <c r="D65" s="34" t="s">
        <v>77</v>
      </c>
      <c r="F65" s="99" t="str">
        <f>IF(C65&lt;0,"SI","NO")</f>
        <v>SI</v>
      </c>
    </row>
    <row r="66" spans="1:8" x14ac:dyDescent="0.25">
      <c r="A66" s="20" t="s">
        <v>54</v>
      </c>
      <c r="B66" s="12"/>
      <c r="D66" s="19"/>
    </row>
    <row r="67" spans="1:8" ht="89.25" customHeight="1" x14ac:dyDescent="0.25">
      <c r="A67" s="12"/>
    </row>
    <row r="68" spans="1:8" ht="15.75" x14ac:dyDescent="0.25">
      <c r="A68" s="59" t="s">
        <v>65</v>
      </c>
      <c r="B68" s="60"/>
      <c r="C68" s="60"/>
      <c r="D68" s="60"/>
      <c r="E68" s="60"/>
      <c r="F68" s="61" t="s">
        <v>91</v>
      </c>
      <c r="G68" s="60"/>
      <c r="H68" s="60"/>
    </row>
    <row r="69" spans="1:8" ht="15.75" x14ac:dyDescent="0.25">
      <c r="A69" s="13"/>
    </row>
    <row r="70" spans="1:8" ht="30" x14ac:dyDescent="0.25">
      <c r="C70" s="9" t="s">
        <v>8</v>
      </c>
      <c r="D70" s="11" t="s">
        <v>44</v>
      </c>
    </row>
    <row r="71" spans="1:8" x14ac:dyDescent="0.25">
      <c r="A71" s="166" t="s">
        <v>58</v>
      </c>
      <c r="B71" s="167"/>
      <c r="C71" s="27">
        <f>C25</f>
        <v>1500529.17</v>
      </c>
      <c r="D71" s="155" t="s">
        <v>68</v>
      </c>
    </row>
    <row r="72" spans="1:8" ht="15" customHeight="1" x14ac:dyDescent="0.25">
      <c r="A72" s="156" t="s">
        <v>67</v>
      </c>
      <c r="B72" s="157"/>
      <c r="C72" s="26">
        <f>(B28-C29)</f>
        <v>10668597.199999999</v>
      </c>
      <c r="D72" s="155"/>
    </row>
    <row r="73" spans="1:8" ht="31.5" customHeight="1" x14ac:dyDescent="0.25">
      <c r="A73" s="164" t="s">
        <v>73</v>
      </c>
      <c r="B73" s="165"/>
      <c r="C73" s="21">
        <f>C71/C72</f>
        <v>0.14064915394874972</v>
      </c>
      <c r="D73" s="155"/>
      <c r="F73" s="38"/>
      <c r="G73" s="46">
        <v>2020</v>
      </c>
      <c r="H73" t="s">
        <v>129</v>
      </c>
    </row>
    <row r="74" spans="1:8" x14ac:dyDescent="0.25">
      <c r="F74" s="43" t="s">
        <v>85</v>
      </c>
      <c r="G74" s="97">
        <v>9194472.8699999992</v>
      </c>
    </row>
    <row r="75" spans="1:8" x14ac:dyDescent="0.25">
      <c r="A75" s="15" t="s">
        <v>53</v>
      </c>
      <c r="B75" s="12"/>
      <c r="F75" s="40" t="s">
        <v>86</v>
      </c>
      <c r="G75" s="98">
        <v>-871055.77</v>
      </c>
    </row>
    <row r="76" spans="1:8" x14ac:dyDescent="0.25">
      <c r="A76" s="15"/>
      <c r="B76" s="12"/>
      <c r="C76" s="9" t="s">
        <v>8</v>
      </c>
      <c r="F76" s="38"/>
      <c r="G76" s="38"/>
    </row>
    <row r="77" spans="1:8" ht="28.5" customHeight="1" x14ac:dyDescent="0.4">
      <c r="A77" s="164" t="s">
        <v>72</v>
      </c>
      <c r="B77" s="165"/>
      <c r="C77" s="32">
        <f>H28</f>
        <v>0</v>
      </c>
      <c r="F77" s="38"/>
      <c r="G77" s="47">
        <f>SUM(G74:G76)</f>
        <v>8323417.0999999996</v>
      </c>
    </row>
    <row r="78" spans="1:8" ht="30" customHeight="1" x14ac:dyDescent="0.25">
      <c r="A78" s="164" t="s">
        <v>71</v>
      </c>
      <c r="B78" s="165"/>
      <c r="C78" s="33" t="str">
        <f>G23</f>
        <v>CALCOLI DA BILANCIO</v>
      </c>
    </row>
    <row r="79" spans="1:8" x14ac:dyDescent="0.25">
      <c r="A79" s="156" t="s">
        <v>69</v>
      </c>
      <c r="B79" s="157"/>
      <c r="C79" s="21" t="e">
        <f>C77/C78</f>
        <v>#VALUE!</v>
      </c>
      <c r="D79" t="s">
        <v>78</v>
      </c>
    </row>
    <row r="80" spans="1:8" x14ac:dyDescent="0.25">
      <c r="A80" s="20" t="s">
        <v>70</v>
      </c>
      <c r="B80" s="12"/>
    </row>
    <row r="82" spans="1:4" ht="15.75" x14ac:dyDescent="0.25">
      <c r="A82" s="13" t="s">
        <v>66</v>
      </c>
    </row>
    <row r="83" spans="1:4" ht="15.75" x14ac:dyDescent="0.25">
      <c r="A83" s="13"/>
    </row>
    <row r="84" spans="1:4" x14ac:dyDescent="0.25">
      <c r="A84" s="15" t="s">
        <v>53</v>
      </c>
    </row>
    <row r="85" spans="1:4" ht="30" x14ac:dyDescent="0.25">
      <c r="A85" s="15"/>
      <c r="B85" s="12"/>
      <c r="C85" s="9" t="s">
        <v>8</v>
      </c>
      <c r="D85" s="11" t="s">
        <v>44</v>
      </c>
    </row>
    <row r="86" spans="1:4" x14ac:dyDescent="0.25">
      <c r="A86" s="164" t="s">
        <v>72</v>
      </c>
      <c r="B86" s="165"/>
      <c r="C86" s="32">
        <f>H28</f>
        <v>0</v>
      </c>
      <c r="D86" s="155" t="s">
        <v>74</v>
      </c>
    </row>
    <row r="87" spans="1:4" ht="29.25" customHeight="1" x14ac:dyDescent="0.25">
      <c r="A87" s="164" t="s">
        <v>71</v>
      </c>
      <c r="B87" s="165"/>
      <c r="C87" s="33" t="str">
        <f>C78</f>
        <v>CALCOLI DA BILANCIO</v>
      </c>
      <c r="D87" s="155"/>
    </row>
    <row r="88" spans="1:4" ht="30" customHeight="1" x14ac:dyDescent="0.25">
      <c r="A88" s="164" t="s">
        <v>76</v>
      </c>
      <c r="B88" s="165"/>
      <c r="C88" s="36" t="e">
        <f>C86/C87</f>
        <v>#VALUE!</v>
      </c>
      <c r="D88" s="155"/>
    </row>
    <row r="89" spans="1:4" ht="30.75" customHeight="1" x14ac:dyDescent="0.25">
      <c r="A89" s="164" t="s">
        <v>79</v>
      </c>
      <c r="B89" s="165"/>
      <c r="C89" s="36">
        <f>C30</f>
        <v>0.13790200789633267</v>
      </c>
      <c r="D89" s="155"/>
    </row>
    <row r="90" spans="1:4" x14ac:dyDescent="0.25">
      <c r="A90" s="154" t="s">
        <v>11</v>
      </c>
      <c r="B90" s="154"/>
      <c r="C90" s="35">
        <f>B9</f>
        <v>0.312</v>
      </c>
      <c r="D90" s="155"/>
    </row>
    <row r="91" spans="1:4" x14ac:dyDescent="0.25">
      <c r="A91" s="20" t="s">
        <v>80</v>
      </c>
    </row>
  </sheetData>
  <mergeCells count="32">
    <mergeCell ref="A77:B77"/>
    <mergeCell ref="A78:B78"/>
    <mergeCell ref="A79:B79"/>
    <mergeCell ref="A86:B86"/>
    <mergeCell ref="D86:D90"/>
    <mergeCell ref="A87:B87"/>
    <mergeCell ref="A88:B88"/>
    <mergeCell ref="A89:B89"/>
    <mergeCell ref="A90:B90"/>
    <mergeCell ref="F60:G60"/>
    <mergeCell ref="A63:B63"/>
    <mergeCell ref="A64:B64"/>
    <mergeCell ref="A65:B65"/>
    <mergeCell ref="A71:B71"/>
    <mergeCell ref="D71:D73"/>
    <mergeCell ref="A72:B72"/>
    <mergeCell ref="A73:B73"/>
    <mergeCell ref="D58:D59"/>
    <mergeCell ref="A59:B59"/>
    <mergeCell ref="A1:G1"/>
    <mergeCell ref="B24:C24"/>
    <mergeCell ref="D26:D29"/>
    <mergeCell ref="A30:B30"/>
    <mergeCell ref="A37:B37"/>
    <mergeCell ref="D37:D39"/>
    <mergeCell ref="A38:B38"/>
    <mergeCell ref="A39:B39"/>
    <mergeCell ref="A54:B54"/>
    <mergeCell ref="A55:B55"/>
    <mergeCell ref="D55:D57"/>
    <mergeCell ref="A56:B56"/>
    <mergeCell ref="A57:B57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E4F6B-BAA9-423F-933A-550D38F10BB8}">
  <sheetPr>
    <tabColor theme="8" tint="-0.249977111117893"/>
    <pageSetUpPr fitToPage="1"/>
  </sheetPr>
  <dimension ref="A1:R33"/>
  <sheetViews>
    <sheetView topLeftCell="A4" workbookViewId="0">
      <selection activeCell="D33" sqref="D33"/>
    </sheetView>
  </sheetViews>
  <sheetFormatPr defaultRowHeight="15" x14ac:dyDescent="0.25"/>
  <cols>
    <col min="2" max="2" width="13.7109375" customWidth="1"/>
    <col min="3" max="3" width="20.85546875" customWidth="1"/>
    <col min="4" max="4" width="20.42578125" customWidth="1"/>
    <col min="7" max="11" width="13.140625" customWidth="1"/>
    <col min="12" max="12" width="12.42578125" customWidth="1"/>
  </cols>
  <sheetData>
    <row r="1" spans="1:18" ht="21" x14ac:dyDescent="0.35">
      <c r="A1" s="89" t="s">
        <v>121</v>
      </c>
      <c r="B1" s="88"/>
      <c r="C1" s="88"/>
      <c r="D1" s="88"/>
      <c r="E1" s="88" t="s">
        <v>122</v>
      </c>
      <c r="F1" s="88"/>
      <c r="G1" s="90">
        <v>2024</v>
      </c>
      <c r="H1" s="88"/>
    </row>
    <row r="2" spans="1:18" ht="12.75" customHeight="1" x14ac:dyDescent="0.35">
      <c r="A2" s="89"/>
      <c r="B2" s="88"/>
      <c r="C2" s="88"/>
      <c r="D2" s="88"/>
      <c r="E2" s="88"/>
      <c r="F2" s="88"/>
      <c r="G2" s="90"/>
      <c r="H2" s="88"/>
    </row>
    <row r="3" spans="1:18" ht="15.75" x14ac:dyDescent="0.25">
      <c r="A3" s="91" t="s">
        <v>123</v>
      </c>
    </row>
    <row r="5" spans="1:18" ht="45" x14ac:dyDescent="0.25">
      <c r="A5" s="62" t="s">
        <v>92</v>
      </c>
      <c r="B5" s="62" t="s">
        <v>120</v>
      </c>
      <c r="C5" s="62" t="s">
        <v>93</v>
      </c>
      <c r="D5" s="62" t="s">
        <v>166</v>
      </c>
      <c r="E5" s="62" t="s">
        <v>94</v>
      </c>
      <c r="F5" s="62" t="s">
        <v>95</v>
      </c>
      <c r="G5" s="68" t="s">
        <v>96</v>
      </c>
      <c r="H5" s="68" t="s">
        <v>97</v>
      </c>
      <c r="I5" s="68" t="s">
        <v>98</v>
      </c>
      <c r="J5" s="68" t="s">
        <v>99</v>
      </c>
      <c r="K5" s="68"/>
      <c r="L5" s="83" t="s">
        <v>100</v>
      </c>
      <c r="M5" s="68" t="s">
        <v>101</v>
      </c>
      <c r="N5" s="68" t="s">
        <v>102</v>
      </c>
      <c r="O5" s="68" t="s">
        <v>103</v>
      </c>
      <c r="P5" s="68" t="s">
        <v>104</v>
      </c>
      <c r="Q5" s="81" t="s">
        <v>105</v>
      </c>
      <c r="R5" s="81" t="s">
        <v>106</v>
      </c>
    </row>
    <row r="6" spans="1:18" x14ac:dyDescent="0.25">
      <c r="A6" s="63">
        <v>1</v>
      </c>
      <c r="B6" s="92">
        <v>2020</v>
      </c>
      <c r="C6" s="64" t="s">
        <v>163</v>
      </c>
      <c r="D6" s="65" t="s">
        <v>168</v>
      </c>
      <c r="E6" s="66">
        <v>12</v>
      </c>
      <c r="F6" s="67">
        <v>1</v>
      </c>
      <c r="G6" s="69">
        <f>IF($D6="","",IF($F6="",VLOOKUP($D6,Tabelle!$A:$E,2,FALSE),VLOOKUP($D6,Tabelle!$A:$E,2,FALSE)*$F6))/12*$E6</f>
        <v>21392.87</v>
      </c>
      <c r="H6" s="69">
        <f>IF($D6="","",IF($F6="",VLOOKUP($D6,Tabelle!$A:$E,3,FALSE),VLOOKUP($D6,Tabelle!$A:$E,3,FALSE)*$F6))/12*$E6</f>
        <v>1782.74</v>
      </c>
      <c r="I6" s="69">
        <f>IF($D6="","",IF($F6="",VLOOKUP($D6,Tabelle!$A:$E,4,FALSE),VLOOKUP($D6,Tabelle!$A:$E,4,FALSE)*$F6))/12*$E6</f>
        <v>52.08</v>
      </c>
      <c r="J6" s="69">
        <f>IF($D6="","",IF($F6="",VLOOKUP($D6,Tabelle!$A:$E,5,FALSE),VLOOKUP($D6,Tabelle!$A:$E,5,FALSE)*$F6))/12*$E6</f>
        <v>115.87805</v>
      </c>
      <c r="K6" s="69">
        <f>IF($D6="","",IF($F6="",VLOOKUP($D6,Tabelle!$A:$F,6,FALSE),VLOOKUP($D6,Tabelle!$A:$F,6,FALSE)*$F6))/12*$E6</f>
        <v>0</v>
      </c>
      <c r="L6" s="70">
        <f>SUM(G6:K6)</f>
        <v>23343.568050000002</v>
      </c>
      <c r="M6" s="71">
        <f>L6</f>
        <v>23343.568050000002</v>
      </c>
      <c r="N6" s="71">
        <f>IF(L6=0,"",L6-I6)</f>
        <v>23291.48805</v>
      </c>
      <c r="O6" s="71">
        <f>ROUND(M6*23.8%,2)</f>
        <v>5555.77</v>
      </c>
      <c r="P6" s="71">
        <f>IF(L6=0,"",N6*2.88%)</f>
        <v>670.79485583999997</v>
      </c>
      <c r="Q6" s="72">
        <f>IF(L6=0,"",O6)</f>
        <v>5555.77</v>
      </c>
      <c r="R6" s="72">
        <f>IF(M6=0,"",P6)</f>
        <v>670.79485583999997</v>
      </c>
    </row>
    <row r="7" spans="1:18" x14ac:dyDescent="0.25">
      <c r="A7" s="63">
        <v>2</v>
      </c>
      <c r="B7" s="92">
        <v>2021</v>
      </c>
      <c r="C7" s="64" t="s">
        <v>156</v>
      </c>
      <c r="D7" s="65" t="s">
        <v>168</v>
      </c>
      <c r="E7" s="66">
        <v>12</v>
      </c>
      <c r="F7" s="67">
        <v>1</v>
      </c>
      <c r="G7" s="69">
        <f>IF($D7="","",IF($F7="",VLOOKUP($D7,Tabelle!$A:$E,2,FALSE),VLOOKUP($D7,Tabelle!$A:$E,2,FALSE)*$F7))/12*$E7</f>
        <v>21392.87</v>
      </c>
      <c r="H7" s="69">
        <f>IF($D7="","",IF($F7="",VLOOKUP($D7,Tabelle!$A:$E,3,FALSE),VLOOKUP($D7,Tabelle!$A:$E,3,FALSE)*$F7))/12*$E7</f>
        <v>1782.74</v>
      </c>
      <c r="I7" s="69">
        <f>IF($D7="","",IF($F7="",VLOOKUP($D7,Tabelle!$A:$E,4,FALSE),VLOOKUP($D7,Tabelle!$A:$E,4,FALSE)*$F7))/12*$E7</f>
        <v>52.08</v>
      </c>
      <c r="J7" s="69">
        <f>IF($D7="","",IF($F7="",VLOOKUP($D7,Tabelle!$A:$E,5,FALSE),VLOOKUP($D7,Tabelle!$A:$E,5,FALSE)*$F7))/12*$E7</f>
        <v>115.87805</v>
      </c>
      <c r="K7" s="69">
        <f>IF($D7="","",IF($F7="",VLOOKUP($D7,Tabelle!$A:$F,6,FALSE),VLOOKUP($D7,Tabelle!$A:$F,6,FALSE)*$F7))/12*$E7</f>
        <v>0</v>
      </c>
      <c r="L7" s="70">
        <f t="shared" ref="L7:L15" si="0">SUM(G7:K7)</f>
        <v>23343.568050000002</v>
      </c>
      <c r="M7" s="71">
        <f t="shared" ref="M7:M21" si="1">L7</f>
        <v>23343.568050000002</v>
      </c>
      <c r="N7" s="71">
        <f t="shared" ref="N7:N15" si="2">IF(L7=0,"",L7-I7)</f>
        <v>23291.48805</v>
      </c>
      <c r="O7" s="71">
        <f t="shared" ref="O7:O15" si="3">ROUND(M7*23.8%,2)</f>
        <v>5555.77</v>
      </c>
      <c r="P7" s="71">
        <f t="shared" ref="P7:P15" si="4">IF(L7=0,"",N7*2.88%)</f>
        <v>670.79485583999997</v>
      </c>
      <c r="Q7" s="72">
        <f t="shared" ref="Q7:Q15" si="5">IF(L7=0,"",O7)</f>
        <v>5555.77</v>
      </c>
      <c r="R7" s="72">
        <f t="shared" ref="R7:R15" si="6">IF(M7=0,"",P7)</f>
        <v>670.79485583999997</v>
      </c>
    </row>
    <row r="8" spans="1:18" x14ac:dyDescent="0.25">
      <c r="A8" s="63">
        <v>3</v>
      </c>
      <c r="B8" s="92">
        <v>2021</v>
      </c>
      <c r="C8" s="64" t="s">
        <v>173</v>
      </c>
      <c r="D8" s="65" t="s">
        <v>168</v>
      </c>
      <c r="E8" s="66">
        <v>12</v>
      </c>
      <c r="F8" s="67">
        <v>1</v>
      </c>
      <c r="G8" s="69">
        <f>IF($D8="","",IF($F8="",VLOOKUP($D8,Tabelle!$A:$E,2,FALSE),VLOOKUP($D8,Tabelle!$A:$E,2,FALSE)*$F8))/12*$E8</f>
        <v>21392.87</v>
      </c>
      <c r="H8" s="69">
        <f>IF($D8="","",IF($F8="",VLOOKUP($D8,Tabelle!$A:$E,3,FALSE),VLOOKUP($D8,Tabelle!$A:$E,3,FALSE)*$F8))/12*$E8</f>
        <v>1782.74</v>
      </c>
      <c r="I8" s="69">
        <f>IF($D8="","",IF($F8="",VLOOKUP($D8,Tabelle!$A:$E,4,FALSE),VLOOKUP($D8,Tabelle!$A:$E,4,FALSE)*$F8))/12*$E8</f>
        <v>52.08</v>
      </c>
      <c r="J8" s="69">
        <f>IF($D8="","",IF($F8="",VLOOKUP($D8,Tabelle!$A:$E,5,FALSE),VLOOKUP($D8,Tabelle!$A:$E,5,FALSE)*$F8))/12*$E8</f>
        <v>115.87805</v>
      </c>
      <c r="K8" s="69">
        <f>IF($D8="","",IF($F8="",VLOOKUP($D8,Tabelle!$A:$F,6,FALSE),VLOOKUP($D8,Tabelle!$A:$F,6,FALSE)*$F8))/12*$E8</f>
        <v>0</v>
      </c>
      <c r="L8" s="70">
        <f t="shared" si="0"/>
        <v>23343.568050000002</v>
      </c>
      <c r="M8" s="71">
        <f t="shared" si="1"/>
        <v>23343.568050000002</v>
      </c>
      <c r="N8" s="71">
        <f t="shared" si="2"/>
        <v>23291.48805</v>
      </c>
      <c r="O8" s="71">
        <f t="shared" si="3"/>
        <v>5555.77</v>
      </c>
      <c r="P8" s="71">
        <f t="shared" si="4"/>
        <v>670.79485583999997</v>
      </c>
      <c r="Q8" s="72">
        <f t="shared" si="5"/>
        <v>5555.77</v>
      </c>
      <c r="R8" s="72">
        <f t="shared" si="6"/>
        <v>670.79485583999997</v>
      </c>
    </row>
    <row r="9" spans="1:18" x14ac:dyDescent="0.25">
      <c r="A9" s="63">
        <v>4</v>
      </c>
      <c r="B9" s="92">
        <v>2022</v>
      </c>
      <c r="C9" s="64" t="s">
        <v>161</v>
      </c>
      <c r="D9" s="65" t="s">
        <v>168</v>
      </c>
      <c r="E9" s="66">
        <v>12</v>
      </c>
      <c r="F9" s="67">
        <v>1</v>
      </c>
      <c r="G9" s="69">
        <f>IF($D9="","",IF($F9="",VLOOKUP($D9,Tabelle!$A:$E,2,FALSE),VLOOKUP($D9,Tabelle!$A:$E,2,FALSE)*$F9))/12*$E9</f>
        <v>21392.87</v>
      </c>
      <c r="H9" s="69">
        <f>IF($D9="","",IF($F9="",VLOOKUP($D9,Tabelle!$A:$E,3,FALSE),VLOOKUP($D9,Tabelle!$A:$E,3,FALSE)*$F9))/12*$E9</f>
        <v>1782.74</v>
      </c>
      <c r="I9" s="69">
        <f>IF($D9="","",IF($F9="",VLOOKUP($D9,Tabelle!$A:$E,4,FALSE),VLOOKUP($D9,Tabelle!$A:$E,4,FALSE)*$F9))/12*$E9</f>
        <v>52.08</v>
      </c>
      <c r="J9" s="69">
        <f>IF($D9="","",IF($F9="",VLOOKUP($D9,Tabelle!$A:$E,5,FALSE),VLOOKUP($D9,Tabelle!$A:$E,5,FALSE)*$F9))/12*$E9</f>
        <v>115.87805</v>
      </c>
      <c r="K9" s="69">
        <f>IF($D9="","",IF($F9="",VLOOKUP($D9,Tabelle!$A:$F,6,FALSE),VLOOKUP($D9,Tabelle!$A:$F,6,FALSE)*$F9))/12*$E9</f>
        <v>0</v>
      </c>
      <c r="L9" s="70">
        <f t="shared" si="0"/>
        <v>23343.568050000002</v>
      </c>
      <c r="M9" s="71">
        <f t="shared" si="1"/>
        <v>23343.568050000002</v>
      </c>
      <c r="N9" s="71">
        <f t="shared" si="2"/>
        <v>23291.48805</v>
      </c>
      <c r="O9" s="71">
        <f t="shared" si="3"/>
        <v>5555.77</v>
      </c>
      <c r="P9" s="71">
        <f t="shared" si="4"/>
        <v>670.79485583999997</v>
      </c>
      <c r="Q9" s="72">
        <f t="shared" si="5"/>
        <v>5555.77</v>
      </c>
      <c r="R9" s="72">
        <f t="shared" si="6"/>
        <v>670.79485583999997</v>
      </c>
    </row>
    <row r="10" spans="1:18" x14ac:dyDescent="0.25">
      <c r="A10" s="63">
        <v>5</v>
      </c>
      <c r="B10" s="92">
        <v>2022</v>
      </c>
      <c r="C10" s="64" t="s">
        <v>162</v>
      </c>
      <c r="D10" s="65" t="s">
        <v>168</v>
      </c>
      <c r="E10" s="66">
        <v>12</v>
      </c>
      <c r="F10" s="67">
        <v>1</v>
      </c>
      <c r="G10" s="69">
        <f>IF($D10="","",IF($F10="",VLOOKUP($D10,Tabelle!$A:$E,2,FALSE),VLOOKUP($D10,Tabelle!$A:$E,2,FALSE)*$F10))/12*$E10</f>
        <v>21392.87</v>
      </c>
      <c r="H10" s="69">
        <f>IF($D10="","",IF($F10="",VLOOKUP($D10,Tabelle!$A:$E,3,FALSE),VLOOKUP($D10,Tabelle!$A:$E,3,FALSE)*$F10))/12*$E10</f>
        <v>1782.74</v>
      </c>
      <c r="I10" s="69">
        <f>IF($D10="","",IF($F10="",VLOOKUP($D10,Tabelle!$A:$E,4,FALSE),VLOOKUP($D10,Tabelle!$A:$E,4,FALSE)*$F10))/12*$E10</f>
        <v>52.08</v>
      </c>
      <c r="J10" s="69">
        <f>IF($D10="","",IF($F10="",VLOOKUP($D10,Tabelle!$A:$E,5,FALSE),VLOOKUP($D10,Tabelle!$A:$E,5,FALSE)*$F10))/12*$E10</f>
        <v>115.87805</v>
      </c>
      <c r="K10" s="69">
        <f>IF($D10="","",IF($F10="",VLOOKUP($D10,Tabelle!$A:$F,6,FALSE),VLOOKUP($D10,Tabelle!$A:$F,6,FALSE)*$F10))/12*$E10</f>
        <v>0</v>
      </c>
      <c r="L10" s="70">
        <f t="shared" si="0"/>
        <v>23343.568050000002</v>
      </c>
      <c r="M10" s="71">
        <f t="shared" si="1"/>
        <v>23343.568050000002</v>
      </c>
      <c r="N10" s="71">
        <f t="shared" si="2"/>
        <v>23291.48805</v>
      </c>
      <c r="O10" s="71">
        <f t="shared" si="3"/>
        <v>5555.77</v>
      </c>
      <c r="P10" s="71">
        <f t="shared" si="4"/>
        <v>670.79485583999997</v>
      </c>
      <c r="Q10" s="72">
        <f t="shared" si="5"/>
        <v>5555.77</v>
      </c>
      <c r="R10" s="72">
        <f t="shared" si="6"/>
        <v>670.79485583999997</v>
      </c>
    </row>
    <row r="11" spans="1:18" x14ac:dyDescent="0.25">
      <c r="A11" s="63">
        <v>6</v>
      </c>
      <c r="B11" s="92">
        <v>2022</v>
      </c>
      <c r="C11" s="64" t="s">
        <v>164</v>
      </c>
      <c r="D11" s="65" t="s">
        <v>168</v>
      </c>
      <c r="E11" s="66">
        <v>12</v>
      </c>
      <c r="F11" s="67">
        <v>1</v>
      </c>
      <c r="G11" s="69">
        <f>IF($D11="","",IF($F11="",VLOOKUP($D11,Tabelle!$A:$E,2,FALSE),VLOOKUP($D11,Tabelle!$A:$E,2,FALSE)*$F11))/12*$E11</f>
        <v>21392.87</v>
      </c>
      <c r="H11" s="69">
        <f>IF($D11="","",IF($F11="",VLOOKUP($D11,Tabelle!$A:$E,3,FALSE),VLOOKUP($D11,Tabelle!$A:$E,3,FALSE)*$F11))/12*$E11</f>
        <v>1782.74</v>
      </c>
      <c r="I11" s="69">
        <f>IF($D11="","",IF($F11="",VLOOKUP($D11,Tabelle!$A:$E,4,FALSE),VLOOKUP($D11,Tabelle!$A:$E,4,FALSE)*$F11))/12*$E11</f>
        <v>52.08</v>
      </c>
      <c r="J11" s="69">
        <f>IF($D11="","",IF($F11="",VLOOKUP($D11,Tabelle!$A:$E,5,FALSE),VLOOKUP($D11,Tabelle!$A:$E,5,FALSE)*$F11))/12*$E11</f>
        <v>115.87805</v>
      </c>
      <c r="K11" s="69">
        <f>IF($D11="","",IF($F11="",VLOOKUP($D11,Tabelle!$A:$F,6,FALSE),VLOOKUP($D11,Tabelle!$A:$F,6,FALSE)*$F11))/12*$E11</f>
        <v>0</v>
      </c>
      <c r="L11" s="70">
        <f t="shared" si="0"/>
        <v>23343.568050000002</v>
      </c>
      <c r="M11" s="71">
        <f t="shared" si="1"/>
        <v>23343.568050000002</v>
      </c>
      <c r="N11" s="71">
        <f t="shared" si="2"/>
        <v>23291.48805</v>
      </c>
      <c r="O11" s="71">
        <f t="shared" si="3"/>
        <v>5555.77</v>
      </c>
      <c r="P11" s="71">
        <f t="shared" si="4"/>
        <v>670.79485583999997</v>
      </c>
      <c r="Q11" s="72">
        <f t="shared" si="5"/>
        <v>5555.77</v>
      </c>
      <c r="R11" s="72">
        <f t="shared" si="6"/>
        <v>670.79485583999997</v>
      </c>
    </row>
    <row r="12" spans="1:18" x14ac:dyDescent="0.25">
      <c r="A12" s="63">
        <v>7</v>
      </c>
      <c r="B12" s="92">
        <v>2022</v>
      </c>
      <c r="C12" s="64" t="s">
        <v>165</v>
      </c>
      <c r="D12" s="65" t="s">
        <v>169</v>
      </c>
      <c r="E12" s="66">
        <v>12</v>
      </c>
      <c r="F12" s="67">
        <v>1</v>
      </c>
      <c r="G12" s="69">
        <f>IF($D12="","",IF($F12="",VLOOKUP($D12,Tabelle!$A:$E,2,FALSE),VLOOKUP($D12,Tabelle!$A:$E,2,FALSE)*$F12))/12*$E12</f>
        <v>19034.509999999998</v>
      </c>
      <c r="H12" s="69">
        <f>IF($D12="","",IF($F12="",VLOOKUP($D12,Tabelle!$A:$E,3,FALSE),VLOOKUP($D12,Tabelle!$A:$E,3,FALSE)*$F12))/12*$E12</f>
        <v>1586.21</v>
      </c>
      <c r="I12" s="69">
        <f>IF($D12="","",IF($F12="",VLOOKUP($D12,Tabelle!$A:$E,4,FALSE),VLOOKUP($D12,Tabelle!$A:$E,4,FALSE)*$F12))/12*$E12</f>
        <v>44.76</v>
      </c>
      <c r="J12" s="69">
        <f>IF($D12="","",IF($F12="",VLOOKUP($D12,Tabelle!$A:$E,5,FALSE),VLOOKUP($D12,Tabelle!$A:$E,5,FALSE)*$F12))/12*$E12</f>
        <v>103.1036</v>
      </c>
      <c r="K12" s="69">
        <f>IF($D12="","",IF($F12="",VLOOKUP($D12,Tabelle!$A:$F,6,FALSE),VLOOKUP($D12,Tabelle!$A:$F,6,FALSE)*$F12))/12*$E12</f>
        <v>0</v>
      </c>
      <c r="L12" s="70">
        <f t="shared" si="0"/>
        <v>20768.583599999994</v>
      </c>
      <c r="M12" s="71">
        <f t="shared" si="1"/>
        <v>20768.583599999994</v>
      </c>
      <c r="N12" s="71">
        <f t="shared" si="2"/>
        <v>20723.823599999996</v>
      </c>
      <c r="O12" s="71">
        <f t="shared" si="3"/>
        <v>4942.92</v>
      </c>
      <c r="P12" s="71">
        <f t="shared" si="4"/>
        <v>596.8461196799999</v>
      </c>
      <c r="Q12" s="72">
        <f t="shared" si="5"/>
        <v>4942.92</v>
      </c>
      <c r="R12" s="72">
        <f t="shared" si="6"/>
        <v>596.8461196799999</v>
      </c>
    </row>
    <row r="13" spans="1:18" x14ac:dyDescent="0.25">
      <c r="A13" s="63">
        <v>8</v>
      </c>
      <c r="B13" s="92">
        <v>2023</v>
      </c>
      <c r="C13" s="64" t="s">
        <v>174</v>
      </c>
      <c r="D13" s="65" t="s">
        <v>168</v>
      </c>
      <c r="E13" s="66">
        <v>12</v>
      </c>
      <c r="F13" s="67">
        <v>1</v>
      </c>
      <c r="G13" s="69">
        <f>IF($D13="","",IF($F13="",VLOOKUP($D13,Tabelle!$A:$E,2,FALSE),VLOOKUP($D13,Tabelle!$A:$E,2,FALSE)*$F13))/12*$E13</f>
        <v>21392.87</v>
      </c>
      <c r="H13" s="69">
        <f>IF($D13="","",IF($F13="",VLOOKUP($D13,Tabelle!$A:$E,3,FALSE),VLOOKUP($D13,Tabelle!$A:$E,3,FALSE)*$F13))/12*$E13</f>
        <v>1782.74</v>
      </c>
      <c r="I13" s="69">
        <f>IF($D13="","",IF($F13="",VLOOKUP($D13,Tabelle!$A:$E,4,FALSE),VLOOKUP($D13,Tabelle!$A:$E,4,FALSE)*$F13))/12*$E13</f>
        <v>52.08</v>
      </c>
      <c r="J13" s="69">
        <f>IF($D13="","",IF($F13="",VLOOKUP($D13,Tabelle!$A:$E,5,FALSE),VLOOKUP($D13,Tabelle!$A:$E,5,FALSE)*$F13))/12*$E13</f>
        <v>115.87805</v>
      </c>
      <c r="K13" s="69">
        <f>IF($D13="","",IF($F13="",VLOOKUP($D13,Tabelle!$A:$F,6,FALSE),VLOOKUP($D13,Tabelle!$A:$F,6,FALSE)*$F13))/12*$E13</f>
        <v>0</v>
      </c>
      <c r="L13" s="70">
        <f t="shared" si="0"/>
        <v>23343.568050000002</v>
      </c>
      <c r="M13" s="71">
        <f t="shared" si="1"/>
        <v>23343.568050000002</v>
      </c>
      <c r="N13" s="71">
        <f t="shared" si="2"/>
        <v>23291.48805</v>
      </c>
      <c r="O13" s="71">
        <f t="shared" si="3"/>
        <v>5555.77</v>
      </c>
      <c r="P13" s="71">
        <f t="shared" si="4"/>
        <v>670.79485583999997</v>
      </c>
      <c r="Q13" s="72">
        <f t="shared" si="5"/>
        <v>5555.77</v>
      </c>
      <c r="R13" s="72">
        <f t="shared" si="6"/>
        <v>670.79485583999997</v>
      </c>
    </row>
    <row r="14" spans="1:18" x14ac:dyDescent="0.25">
      <c r="A14" s="63">
        <v>9</v>
      </c>
      <c r="B14" s="92">
        <v>2023</v>
      </c>
      <c r="C14" s="64" t="s">
        <v>175</v>
      </c>
      <c r="D14" s="65" t="s">
        <v>168</v>
      </c>
      <c r="E14" s="66">
        <v>12</v>
      </c>
      <c r="F14" s="67">
        <v>1</v>
      </c>
      <c r="G14" s="69">
        <f>IF($D14="","",IF($F14="",VLOOKUP($D14,Tabelle!$A:$E,2,FALSE),VLOOKUP($D14,Tabelle!$A:$E,2,FALSE)*$F14))/12*$E14</f>
        <v>21392.87</v>
      </c>
      <c r="H14" s="69">
        <f>IF($D14="","",IF($F14="",VLOOKUP($D14,Tabelle!$A:$E,3,FALSE),VLOOKUP($D14,Tabelle!$A:$E,3,FALSE)*$F14))/12*$E14</f>
        <v>1782.74</v>
      </c>
      <c r="I14" s="69">
        <f>IF($D14="","",IF($F14="",VLOOKUP($D14,Tabelle!$A:$E,4,FALSE),VLOOKUP($D14,Tabelle!$A:$E,4,FALSE)*$F14))/12*$E14</f>
        <v>52.08</v>
      </c>
      <c r="J14" s="69">
        <f>IF($D14="","",IF($F14="",VLOOKUP($D14,Tabelle!$A:$E,5,FALSE),VLOOKUP($D14,Tabelle!$A:$E,5,FALSE)*$F14))/12*$E14</f>
        <v>115.87805</v>
      </c>
      <c r="K14" s="69">
        <f>IF($D14="","",IF($F14="",VLOOKUP($D14,Tabelle!$A:$F,6,FALSE),VLOOKUP($D14,Tabelle!$A:$F,6,FALSE)*$F14))/12*$E14</f>
        <v>0</v>
      </c>
      <c r="L14" s="70">
        <f t="shared" si="0"/>
        <v>23343.568050000002</v>
      </c>
      <c r="M14" s="71">
        <f t="shared" si="1"/>
        <v>23343.568050000002</v>
      </c>
      <c r="N14" s="71">
        <f t="shared" si="2"/>
        <v>23291.48805</v>
      </c>
      <c r="O14" s="71">
        <f t="shared" si="3"/>
        <v>5555.77</v>
      </c>
      <c r="P14" s="71">
        <f t="shared" si="4"/>
        <v>670.79485583999997</v>
      </c>
      <c r="Q14" s="72">
        <f t="shared" si="5"/>
        <v>5555.77</v>
      </c>
      <c r="R14" s="72">
        <f t="shared" si="6"/>
        <v>670.79485583999997</v>
      </c>
    </row>
    <row r="15" spans="1:18" x14ac:dyDescent="0.25">
      <c r="A15" s="63">
        <v>10</v>
      </c>
      <c r="B15" s="131">
        <v>2024</v>
      </c>
      <c r="C15" s="64" t="s">
        <v>176</v>
      </c>
      <c r="D15" s="65" t="s">
        <v>168</v>
      </c>
      <c r="E15" s="66">
        <v>12</v>
      </c>
      <c r="F15" s="67">
        <v>1</v>
      </c>
      <c r="G15" s="69">
        <f>IF($D15="","",IF($F15="",VLOOKUP($D15,Tabelle!$A:$E,2,FALSE),VLOOKUP($D15,Tabelle!$A:$E,2,FALSE)*$F15))/12*$E15</f>
        <v>21392.87</v>
      </c>
      <c r="H15" s="69">
        <f>IF($D15="","",IF($F15="",VLOOKUP($D15,Tabelle!$A:$E,3,FALSE),VLOOKUP($D15,Tabelle!$A:$E,3,FALSE)*$F15))/12*$E15</f>
        <v>1782.74</v>
      </c>
      <c r="I15" s="69">
        <f>IF($D15="","",IF($F15="",VLOOKUP($D15,Tabelle!$A:$E,4,FALSE),VLOOKUP($D15,Tabelle!$A:$E,4,FALSE)*$F15))/12*$E15</f>
        <v>52.08</v>
      </c>
      <c r="J15" s="69">
        <f>IF($D15="","",IF($F15="",VLOOKUP($D15,Tabelle!$A:$E,5,FALSE),VLOOKUP($D15,Tabelle!$A:$E,5,FALSE)*$F15))/12*$E15</f>
        <v>115.87805</v>
      </c>
      <c r="K15" s="69">
        <f>IF($D15="","",IF($F15="",VLOOKUP($D15,Tabelle!$A:$F,6,FALSE),VLOOKUP($D15,Tabelle!$A:$F,6,FALSE)*$F15))/12*$E15</f>
        <v>0</v>
      </c>
      <c r="L15" s="70">
        <f t="shared" si="0"/>
        <v>23343.568050000002</v>
      </c>
      <c r="M15" s="71">
        <f t="shared" si="1"/>
        <v>23343.568050000002</v>
      </c>
      <c r="N15" s="71">
        <f t="shared" si="2"/>
        <v>23291.48805</v>
      </c>
      <c r="O15" s="71">
        <f t="shared" si="3"/>
        <v>5555.77</v>
      </c>
      <c r="P15" s="71">
        <f t="shared" si="4"/>
        <v>670.79485583999997</v>
      </c>
      <c r="Q15" s="72">
        <f t="shared" si="5"/>
        <v>5555.77</v>
      </c>
      <c r="R15" s="72">
        <f t="shared" si="6"/>
        <v>670.79485583999997</v>
      </c>
    </row>
    <row r="16" spans="1:18" x14ac:dyDescent="0.25">
      <c r="A16" s="63">
        <v>11</v>
      </c>
      <c r="B16" s="92">
        <v>2024</v>
      </c>
      <c r="C16" s="64" t="s">
        <v>181</v>
      </c>
      <c r="D16" s="140" t="s">
        <v>167</v>
      </c>
      <c r="E16" s="130">
        <v>12</v>
      </c>
      <c r="F16" s="67">
        <v>1</v>
      </c>
      <c r="G16" s="69">
        <f>IF($D16="","",IF($F16="",VLOOKUP($D16,Tabelle!$A:$E,2,FALSE),VLOOKUP($D16,Tabelle!$A:$E,2,FALSE)*$F16))/12*$E16</f>
        <v>23212.35</v>
      </c>
      <c r="H16" s="69">
        <f>IF($D16="","",IF($F16="",VLOOKUP($D16,Tabelle!$A:$E,3,FALSE),VLOOKUP($D16,Tabelle!$A:$E,3,FALSE)*$F16))/12*$E16</f>
        <v>1934.36</v>
      </c>
      <c r="I16" s="69">
        <f>IF($D16="","",IF($F16="",VLOOKUP($D16,Tabelle!$A:$E,4,FALSE),VLOOKUP($D16,Tabelle!$A:$E,4,FALSE)*$F16))/12*$E16</f>
        <v>59.400000000000006</v>
      </c>
      <c r="J16" s="69">
        <f>IF($D16="","",IF($F16="",VLOOKUP($D16,Tabelle!$A:$E,5,FALSE),VLOOKUP($D16,Tabelle!$A:$E,5,FALSE)*$F16))/12*$E16</f>
        <v>125.73355000000001</v>
      </c>
      <c r="K16" s="69">
        <f>IF($D16="","",IF($F16="",VLOOKUP($D16,Tabelle!$A:$F,6,FALSE),VLOOKUP($D16,Tabelle!$A:$F,6,FALSE)*$F16))/12*$E16</f>
        <v>0</v>
      </c>
      <c r="L16" s="70">
        <f t="shared" ref="L16:L21" si="7">SUM(G16:K16)</f>
        <v>25331.843550000001</v>
      </c>
      <c r="M16" s="71">
        <f t="shared" si="1"/>
        <v>25331.843550000001</v>
      </c>
      <c r="N16" s="71">
        <f t="shared" ref="N16:N21" si="8">IF(L16=0,"",L16-I16)</f>
        <v>25272.44355</v>
      </c>
      <c r="O16" s="71">
        <f t="shared" ref="O16:O21" si="9">ROUND(M16*23.8%,2)</f>
        <v>6028.98</v>
      </c>
      <c r="P16" s="71">
        <f t="shared" ref="P16:P21" si="10">IF(L16=0,"",N16*2.88%)</f>
        <v>727.84637423999993</v>
      </c>
      <c r="Q16" s="72">
        <f t="shared" ref="Q16:Q21" si="11">IF(L16=0,"",O16)</f>
        <v>6028.98</v>
      </c>
      <c r="R16" s="72">
        <f t="shared" ref="R16:R21" si="12">IF(M16=0,"",P16)</f>
        <v>727.84637423999993</v>
      </c>
    </row>
    <row r="17" spans="1:18" x14ac:dyDescent="0.25">
      <c r="A17" s="63">
        <v>12</v>
      </c>
      <c r="B17" s="92"/>
      <c r="C17" s="64"/>
      <c r="D17" s="65" t="s">
        <v>168</v>
      </c>
      <c r="E17" s="66"/>
      <c r="F17" s="67">
        <v>1</v>
      </c>
      <c r="G17" s="69">
        <f>IF($D17="","",IF($F17="",VLOOKUP($D17,Tabelle!$A:$E,2,FALSE),VLOOKUP($D17,Tabelle!$A:$E,2,FALSE)*$F17))/12*$E17</f>
        <v>0</v>
      </c>
      <c r="H17" s="69">
        <f>IF($D17="","",IF($F17="",VLOOKUP($D17,Tabelle!$A:$E,3,FALSE),VLOOKUP($D17,Tabelle!$A:$E,3,FALSE)*$F17))/12*$E17</f>
        <v>0</v>
      </c>
      <c r="I17" s="69">
        <f>IF($D17="","",IF($F17="",VLOOKUP($D17,Tabelle!$A:$E,4,FALSE),VLOOKUP($D17,Tabelle!$A:$E,4,FALSE)*$F17))/12*$E17</f>
        <v>0</v>
      </c>
      <c r="J17" s="69">
        <f>IF($D17="","",IF($F17="",VLOOKUP($D17,Tabelle!$A:$E,5,FALSE),VLOOKUP($D17,Tabelle!$A:$E,5,FALSE)*$F17))/12*$E17</f>
        <v>0</v>
      </c>
      <c r="K17" s="69">
        <f>IF($D17="","",IF($F17="",VLOOKUP($D17,Tabelle!$A:$F,6,FALSE),VLOOKUP($D17,Tabelle!$A:$F,6,FALSE)*$F17))/12*$E17</f>
        <v>0</v>
      </c>
      <c r="L17" s="70">
        <f t="shared" si="7"/>
        <v>0</v>
      </c>
      <c r="M17" s="71">
        <f t="shared" si="1"/>
        <v>0</v>
      </c>
      <c r="N17" s="71" t="str">
        <f t="shared" si="8"/>
        <v/>
      </c>
      <c r="O17" s="71">
        <f t="shared" si="9"/>
        <v>0</v>
      </c>
      <c r="P17" s="71" t="str">
        <f t="shared" si="10"/>
        <v/>
      </c>
      <c r="Q17" s="72" t="str">
        <f t="shared" si="11"/>
        <v/>
      </c>
      <c r="R17" s="72" t="str">
        <f t="shared" si="12"/>
        <v/>
      </c>
    </row>
    <row r="18" spans="1:18" x14ac:dyDescent="0.25">
      <c r="A18" s="63">
        <v>13</v>
      </c>
      <c r="B18" s="92"/>
      <c r="C18" s="64"/>
      <c r="D18" s="65" t="s">
        <v>168</v>
      </c>
      <c r="E18" s="66"/>
      <c r="F18" s="67">
        <v>1</v>
      </c>
      <c r="G18" s="69">
        <f>IF($D18="","",IF($F18="",VLOOKUP($D18,Tabelle!$A:$E,2,FALSE),VLOOKUP($D18,Tabelle!$A:$E,2,FALSE)*$F18))/12*$E18</f>
        <v>0</v>
      </c>
      <c r="H18" s="69">
        <f>IF($D18="","",IF($F18="",VLOOKUP($D18,Tabelle!$A:$E,3,FALSE),VLOOKUP($D18,Tabelle!$A:$E,3,FALSE)*$F18))/12*$E18</f>
        <v>0</v>
      </c>
      <c r="I18" s="69">
        <f>IF($D18="","",IF($F18="",VLOOKUP($D18,Tabelle!$A:$E,4,FALSE),VLOOKUP($D18,Tabelle!$A:$E,4,FALSE)*$F18))/12*$E18</f>
        <v>0</v>
      </c>
      <c r="J18" s="69">
        <f>IF($D18="","",IF($F18="",VLOOKUP($D18,Tabelle!$A:$E,5,FALSE),VLOOKUP($D18,Tabelle!$A:$E,5,FALSE)*$F18))/12*$E18</f>
        <v>0</v>
      </c>
      <c r="K18" s="69">
        <f>IF($D18="","",IF($F18="",VLOOKUP($D18,Tabelle!$A:$F,6,FALSE),VLOOKUP($D18,Tabelle!$A:$F,6,FALSE)*$F18))/12*$E18</f>
        <v>0</v>
      </c>
      <c r="L18" s="70">
        <f t="shared" si="7"/>
        <v>0</v>
      </c>
      <c r="M18" s="71">
        <f t="shared" si="1"/>
        <v>0</v>
      </c>
      <c r="N18" s="71" t="str">
        <f t="shared" si="8"/>
        <v/>
      </c>
      <c r="O18" s="71">
        <f t="shared" si="9"/>
        <v>0</v>
      </c>
      <c r="P18" s="71" t="str">
        <f t="shared" si="10"/>
        <v/>
      </c>
      <c r="Q18" s="72" t="str">
        <f t="shared" si="11"/>
        <v/>
      </c>
      <c r="R18" s="72" t="str">
        <f t="shared" si="12"/>
        <v/>
      </c>
    </row>
    <row r="19" spans="1:18" x14ac:dyDescent="0.25">
      <c r="A19" s="63">
        <v>14</v>
      </c>
      <c r="B19" s="92"/>
      <c r="C19" s="64"/>
      <c r="D19" s="65" t="s">
        <v>168</v>
      </c>
      <c r="E19" s="66"/>
      <c r="F19" s="67">
        <v>1</v>
      </c>
      <c r="G19" s="69">
        <f>IF($D19="","",IF($F19="",VLOOKUP($D19,Tabelle!$A:$E,2,FALSE),VLOOKUP($D19,Tabelle!$A:$E,2,FALSE)*$F19))/12*$E19</f>
        <v>0</v>
      </c>
      <c r="H19" s="69">
        <f>IF($D19="","",IF($F19="",VLOOKUP($D19,Tabelle!$A:$E,3,FALSE),VLOOKUP($D19,Tabelle!$A:$E,3,FALSE)*$F19))/12*$E19</f>
        <v>0</v>
      </c>
      <c r="I19" s="69">
        <f>IF($D19="","",IF($F19="",VLOOKUP($D19,Tabelle!$A:$E,4,FALSE),VLOOKUP($D19,Tabelle!$A:$E,4,FALSE)*$F19))/12*$E19</f>
        <v>0</v>
      </c>
      <c r="J19" s="69">
        <f>IF($D19="","",IF($F19="",VLOOKUP($D19,Tabelle!$A:$E,5,FALSE),VLOOKUP($D19,Tabelle!$A:$E,5,FALSE)*$F19))/12*$E19</f>
        <v>0</v>
      </c>
      <c r="K19" s="69">
        <f>IF($D19="","",IF($F19="",VLOOKUP($D19,Tabelle!$A:$F,6,FALSE),VLOOKUP($D19,Tabelle!$A:$F,6,FALSE)*$F19))/12*$E19</f>
        <v>0</v>
      </c>
      <c r="L19" s="70">
        <f t="shared" si="7"/>
        <v>0</v>
      </c>
      <c r="M19" s="71">
        <f t="shared" si="1"/>
        <v>0</v>
      </c>
      <c r="N19" s="71" t="str">
        <f t="shared" si="8"/>
        <v/>
      </c>
      <c r="O19" s="71">
        <f t="shared" si="9"/>
        <v>0</v>
      </c>
      <c r="P19" s="71" t="str">
        <f t="shared" si="10"/>
        <v/>
      </c>
      <c r="Q19" s="72" t="str">
        <f t="shared" si="11"/>
        <v/>
      </c>
      <c r="R19" s="72" t="str">
        <f t="shared" si="12"/>
        <v/>
      </c>
    </row>
    <row r="20" spans="1:18" x14ac:dyDescent="0.25">
      <c r="A20" s="63">
        <v>15</v>
      </c>
      <c r="B20" s="92"/>
      <c r="C20" s="64"/>
      <c r="D20" s="65" t="s">
        <v>168</v>
      </c>
      <c r="E20" s="66"/>
      <c r="F20" s="67">
        <v>1</v>
      </c>
      <c r="G20" s="69">
        <f>IF($D20="","",IF($F20="",VLOOKUP($D20,Tabelle!$A:$E,2,FALSE),VLOOKUP($D20,Tabelle!$A:$E,2,FALSE)*$F20))/12*$E20</f>
        <v>0</v>
      </c>
      <c r="H20" s="69">
        <f>IF($D20="","",IF($F20="",VLOOKUP($D20,Tabelle!$A:$E,3,FALSE),VLOOKUP($D20,Tabelle!$A:$E,3,FALSE)*$F20))/12*$E20</f>
        <v>0</v>
      </c>
      <c r="I20" s="69">
        <f>IF($D20="","",IF($F20="",VLOOKUP($D20,Tabelle!$A:$E,4,FALSE),VLOOKUP($D20,Tabelle!$A:$E,4,FALSE)*$F20))/12*$E20</f>
        <v>0</v>
      </c>
      <c r="J20" s="69">
        <f>IF($D20="","",IF($F20="",VLOOKUP($D20,Tabelle!$A:$E,5,FALSE),VLOOKUP($D20,Tabelle!$A:$E,5,FALSE)*$F20))/12*$E20</f>
        <v>0</v>
      </c>
      <c r="K20" s="69">
        <f>IF($D20="","",IF($F20="",VLOOKUP($D20,Tabelle!$A:$F,6,FALSE),VLOOKUP($D20,Tabelle!$A:$F,6,FALSE)*$F20))/12*$E20</f>
        <v>0</v>
      </c>
      <c r="L20" s="70">
        <f t="shared" si="7"/>
        <v>0</v>
      </c>
      <c r="M20" s="71">
        <f t="shared" si="1"/>
        <v>0</v>
      </c>
      <c r="N20" s="71" t="str">
        <f t="shared" si="8"/>
        <v/>
      </c>
      <c r="O20" s="71">
        <f t="shared" si="9"/>
        <v>0</v>
      </c>
      <c r="P20" s="71" t="str">
        <f t="shared" si="10"/>
        <v/>
      </c>
      <c r="Q20" s="72" t="str">
        <f t="shared" si="11"/>
        <v/>
      </c>
      <c r="R20" s="72" t="str">
        <f t="shared" si="12"/>
        <v/>
      </c>
    </row>
    <row r="21" spans="1:18" x14ac:dyDescent="0.25">
      <c r="A21" s="63">
        <v>16</v>
      </c>
      <c r="B21" s="92"/>
      <c r="C21" s="64"/>
      <c r="D21" s="65" t="s">
        <v>168</v>
      </c>
      <c r="E21" s="66"/>
      <c r="F21" s="67">
        <v>1</v>
      </c>
      <c r="G21" s="69">
        <f>IF($D21="","",IF($F21="",VLOOKUP($D21,Tabelle!$A:$E,2,FALSE),VLOOKUP($D21,Tabelle!$A:$E,2,FALSE)*$F21))/12*$E21</f>
        <v>0</v>
      </c>
      <c r="H21" s="69">
        <f>IF($D21="","",IF($F21="",VLOOKUP($D21,Tabelle!$A:$E,3,FALSE),VLOOKUP($D21,Tabelle!$A:$E,3,FALSE)*$F21))/12*$E21</f>
        <v>0</v>
      </c>
      <c r="I21" s="69">
        <f>IF($D21="","",IF($F21="",VLOOKUP($D21,Tabelle!$A:$E,4,FALSE),VLOOKUP($D21,Tabelle!$A:$E,4,FALSE)*$F21))/12*$E21</f>
        <v>0</v>
      </c>
      <c r="J21" s="69">
        <f>IF($D21="","",IF($F21="",VLOOKUP($D21,Tabelle!$A:$E,5,FALSE),VLOOKUP($D21,Tabelle!$A:$E,5,FALSE)*$F21))/12*$E21</f>
        <v>0</v>
      </c>
      <c r="K21" s="69">
        <f>IF($D21="","",IF($F21="",VLOOKUP($D21,Tabelle!$A:$F,6,FALSE),VLOOKUP($D21,Tabelle!$A:$F,6,FALSE)*$F21))/12*$E21</f>
        <v>0</v>
      </c>
      <c r="L21" s="70">
        <f t="shared" si="7"/>
        <v>0</v>
      </c>
      <c r="M21" s="71">
        <f t="shared" si="1"/>
        <v>0</v>
      </c>
      <c r="N21" s="71" t="str">
        <f t="shared" si="8"/>
        <v/>
      </c>
      <c r="O21" s="71">
        <f t="shared" si="9"/>
        <v>0</v>
      </c>
      <c r="P21" s="71" t="str">
        <f t="shared" si="10"/>
        <v/>
      </c>
      <c r="Q21" s="72" t="str">
        <f t="shared" si="11"/>
        <v/>
      </c>
      <c r="R21" s="72" t="str">
        <f t="shared" si="12"/>
        <v/>
      </c>
    </row>
    <row r="22" spans="1:18" ht="15.75" thickBot="1" x14ac:dyDescent="0.3">
      <c r="L22" s="84">
        <f>SUM(L6:L21)</f>
        <v>256192.53959999999</v>
      </c>
      <c r="M22" s="82"/>
      <c r="O22" s="82"/>
      <c r="Q22" s="85">
        <f>SUM(Q6:Q21)</f>
        <v>60973.83</v>
      </c>
      <c r="R22" s="85">
        <f>SUM(R6:R21)</f>
        <v>7361.8461964800008</v>
      </c>
    </row>
    <row r="23" spans="1:18" ht="19.5" thickBot="1" x14ac:dyDescent="0.35">
      <c r="B23" s="86" t="s">
        <v>64</v>
      </c>
      <c r="C23" s="87">
        <f>L22+Q22+R22</f>
        <v>324528.21579647996</v>
      </c>
      <c r="D23" s="141">
        <f>C23/G23</f>
        <v>29502.565072407269</v>
      </c>
      <c r="E23" s="142" t="s">
        <v>186</v>
      </c>
      <c r="G23" s="145">
        <f>COUNTIF(E6:E21,"12")</f>
        <v>11</v>
      </c>
      <c r="H23" s="144" t="s">
        <v>187</v>
      </c>
    </row>
    <row r="24" spans="1:18" ht="15.75" thickBot="1" x14ac:dyDescent="0.3">
      <c r="G24" s="144"/>
      <c r="H24" s="144"/>
    </row>
    <row r="25" spans="1:18" ht="16.5" thickBot="1" x14ac:dyDescent="0.3">
      <c r="B25" s="133" t="s">
        <v>182</v>
      </c>
      <c r="C25" s="134">
        <f>L22*8.5%</f>
        <v>21776.365866</v>
      </c>
      <c r="D25" s="134">
        <f>(L22/G23)*8.5%</f>
        <v>1979.6696241818183</v>
      </c>
      <c r="G25" s="145">
        <f>'Diff.pers.2018-corrente'!B10-'Diff.pers.2018-corrente'!B4</f>
        <v>1</v>
      </c>
      <c r="H25" s="144" t="s">
        <v>189</v>
      </c>
    </row>
    <row r="27" spans="1:18" ht="20.25" x14ac:dyDescent="0.55000000000000004">
      <c r="C27" s="135">
        <f>C23+C25</f>
        <v>346304.58166247996</v>
      </c>
      <c r="D27" s="143">
        <f>D23+D25</f>
        <v>31482.234696589087</v>
      </c>
      <c r="E27" s="136" t="s">
        <v>183</v>
      </c>
    </row>
    <row r="29" spans="1:18" ht="18.75" x14ac:dyDescent="0.3">
      <c r="D29" s="87">
        <f>D23*G25</f>
        <v>29502.565072407269</v>
      </c>
      <c r="E29" s="54" t="s">
        <v>188</v>
      </c>
    </row>
    <row r="31" spans="1:18" ht="15.75" x14ac:dyDescent="0.25">
      <c r="D31" s="134">
        <f>D25*G25</f>
        <v>1979.6696241818183</v>
      </c>
      <c r="E31" s="133" t="s">
        <v>182</v>
      </c>
    </row>
    <row r="33" spans="4:4" ht="20.25" x14ac:dyDescent="0.55000000000000004">
      <c r="D33" s="135">
        <f>D29+D31</f>
        <v>31482.234696589087</v>
      </c>
    </row>
  </sheetData>
  <pageMargins left="0.7" right="0.7" top="0.75" bottom="0.75" header="0.3" footer="0.3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9C726-6068-4483-9FBA-F281C5DBA989}">
  <sheetPr>
    <tabColor theme="8" tint="-0.249977111117893"/>
    <pageSetUpPr fitToPage="1"/>
  </sheetPr>
  <dimension ref="A1:R23"/>
  <sheetViews>
    <sheetView workbookViewId="0">
      <selection activeCell="G2" sqref="G2"/>
    </sheetView>
  </sheetViews>
  <sheetFormatPr defaultRowHeight="15" x14ac:dyDescent="0.25"/>
  <cols>
    <col min="2" max="2" width="13.7109375" customWidth="1"/>
    <col min="3" max="3" width="20.85546875" customWidth="1"/>
    <col min="4" max="4" width="20.42578125" customWidth="1"/>
    <col min="7" max="11" width="13.140625" customWidth="1"/>
    <col min="12" max="12" width="12.42578125" customWidth="1"/>
  </cols>
  <sheetData>
    <row r="1" spans="1:18" ht="21" x14ac:dyDescent="0.35">
      <c r="A1" s="89" t="s">
        <v>121</v>
      </c>
      <c r="B1" s="88"/>
      <c r="C1" s="88"/>
      <c r="D1" s="88"/>
      <c r="E1" s="88" t="s">
        <v>122</v>
      </c>
      <c r="F1" s="88"/>
      <c r="G1" s="90">
        <v>2025</v>
      </c>
      <c r="H1" s="88"/>
    </row>
    <row r="2" spans="1:18" ht="12.75" customHeight="1" x14ac:dyDescent="0.35">
      <c r="A2" s="89"/>
      <c r="B2" s="88"/>
      <c r="C2" s="88"/>
      <c r="D2" s="88"/>
      <c r="E2" s="88"/>
      <c r="F2" s="88"/>
      <c r="G2" s="90"/>
      <c r="H2" s="88"/>
    </row>
    <row r="3" spans="1:18" ht="15.75" x14ac:dyDescent="0.25">
      <c r="A3" s="91" t="s">
        <v>123</v>
      </c>
    </row>
    <row r="5" spans="1:18" ht="45" x14ac:dyDescent="0.25">
      <c r="A5" s="62" t="s">
        <v>92</v>
      </c>
      <c r="B5" s="62" t="s">
        <v>120</v>
      </c>
      <c r="C5" s="62" t="s">
        <v>93</v>
      </c>
      <c r="D5" s="62" t="s">
        <v>166</v>
      </c>
      <c r="E5" s="62" t="s">
        <v>94</v>
      </c>
      <c r="F5" s="62" t="s">
        <v>95</v>
      </c>
      <c r="G5" s="68" t="s">
        <v>96</v>
      </c>
      <c r="H5" s="68" t="s">
        <v>97</v>
      </c>
      <c r="I5" s="68" t="s">
        <v>98</v>
      </c>
      <c r="J5" s="68" t="s">
        <v>99</v>
      </c>
      <c r="K5" s="68"/>
      <c r="L5" s="83" t="s">
        <v>100</v>
      </c>
      <c r="M5" s="68" t="s">
        <v>101</v>
      </c>
      <c r="N5" s="68" t="s">
        <v>102</v>
      </c>
      <c r="O5" s="68" t="s">
        <v>103</v>
      </c>
      <c r="P5" s="68" t="s">
        <v>104</v>
      </c>
      <c r="Q5" s="81" t="s">
        <v>105</v>
      </c>
      <c r="R5" s="81" t="s">
        <v>106</v>
      </c>
    </row>
    <row r="6" spans="1:18" x14ac:dyDescent="0.25">
      <c r="A6" s="63">
        <v>1</v>
      </c>
      <c r="B6" s="92">
        <v>2020</v>
      </c>
      <c r="C6" s="64" t="s">
        <v>172</v>
      </c>
      <c r="D6" s="28" t="s">
        <v>168</v>
      </c>
      <c r="E6" s="130">
        <v>12</v>
      </c>
      <c r="F6" s="67">
        <v>1</v>
      </c>
      <c r="G6" s="69">
        <f>IF($D6="","",IF($F6="",VLOOKUP($D6,Tabelle!$A:$E,2,FALSE),VLOOKUP($D6,Tabelle!$A:$E,2,FALSE)*$F6))/12*$E6</f>
        <v>21392.87</v>
      </c>
      <c r="H6" s="69">
        <f>IF($D6="","",IF($F6="",VLOOKUP($D6,Tabelle!$A:$E,3,FALSE),VLOOKUP($D6,Tabelle!$A:$E,3,FALSE)*$F6))/12*$E6</f>
        <v>1782.74</v>
      </c>
      <c r="I6" s="69">
        <f>IF($D6="","",IF($F6="",VLOOKUP($D6,Tabelle!$A:$E,4,FALSE),VLOOKUP($D6,Tabelle!$A:$E,4,FALSE)*$F6))/12*$E6</f>
        <v>52.08</v>
      </c>
      <c r="J6" s="69">
        <f>IF($D6="","",IF($F6="",VLOOKUP($D6,Tabelle!$A:$E,5,FALSE),VLOOKUP($D6,Tabelle!$A:$E,5,FALSE)*$F6))/12*$E6</f>
        <v>115.87805</v>
      </c>
      <c r="K6" s="69">
        <f>IF($D6="","",IF($F6="",VLOOKUP($D6,Tabelle!$A:$F,6,FALSE),VLOOKUP($D6,Tabelle!$A:$F,6,FALSE)*$F6))/12*$E6</f>
        <v>0</v>
      </c>
      <c r="L6" s="70">
        <f>SUM(G6:K6)</f>
        <v>23343.568050000002</v>
      </c>
      <c r="M6" s="71">
        <f>L6</f>
        <v>23343.568050000002</v>
      </c>
      <c r="N6" s="71">
        <f>IF(L6=0,"",L6-I6)</f>
        <v>23291.48805</v>
      </c>
      <c r="O6" s="71">
        <f>ROUND(M6*23.8%,2)</f>
        <v>5555.77</v>
      </c>
      <c r="P6" s="71">
        <f>IF(L6=0,"",N6*2.88%)</f>
        <v>670.79485583999997</v>
      </c>
      <c r="Q6" s="72">
        <f>IF(L6=0,"",O6)</f>
        <v>5555.77</v>
      </c>
      <c r="R6" s="72">
        <f>IF(M6=0,"",P6)</f>
        <v>670.79485583999997</v>
      </c>
    </row>
    <row r="7" spans="1:18" x14ac:dyDescent="0.25">
      <c r="A7" s="63">
        <v>2</v>
      </c>
      <c r="B7" s="92">
        <v>2021</v>
      </c>
      <c r="C7" s="64" t="s">
        <v>156</v>
      </c>
      <c r="D7" s="28" t="s">
        <v>168</v>
      </c>
      <c r="E7" s="130">
        <v>12</v>
      </c>
      <c r="F7" s="67">
        <v>1</v>
      </c>
      <c r="G7" s="69">
        <f>IF($D7="","",IF($F7="",VLOOKUP($D7,Tabelle!$A:$E,2,FALSE),VLOOKUP($D7,Tabelle!$A:$E,2,FALSE)*$F7))/12*$E7</f>
        <v>21392.87</v>
      </c>
      <c r="H7" s="69">
        <f>IF($D7="","",IF($F7="",VLOOKUP($D7,Tabelle!$A:$E,3,FALSE),VLOOKUP($D7,Tabelle!$A:$E,3,FALSE)*$F7))/12*$E7</f>
        <v>1782.74</v>
      </c>
      <c r="I7" s="69">
        <f>IF($D7="","",IF($F7="",VLOOKUP($D7,Tabelle!$A:$E,4,FALSE),VLOOKUP($D7,Tabelle!$A:$E,4,FALSE)*$F7))/12*$E7</f>
        <v>52.08</v>
      </c>
      <c r="J7" s="69">
        <f>IF($D7="","",IF($F7="",VLOOKUP($D7,Tabelle!$A:$E,5,FALSE),VLOOKUP($D7,Tabelle!$A:$E,5,FALSE)*$F7))/12*$E7</f>
        <v>115.87805</v>
      </c>
      <c r="K7" s="69">
        <f>IF($D7="","",IF($F7="",VLOOKUP($D7,Tabelle!$A:$F,6,FALSE),VLOOKUP($D7,Tabelle!$A:$F,6,FALSE)*$F7))/12*$E7</f>
        <v>0</v>
      </c>
      <c r="L7" s="70">
        <f t="shared" ref="L7:L21" si="0">SUM(G7:K7)</f>
        <v>23343.568050000002</v>
      </c>
      <c r="M7" s="71">
        <f t="shared" ref="M7:M21" si="1">L7</f>
        <v>23343.568050000002</v>
      </c>
      <c r="N7" s="71">
        <f t="shared" ref="N7:N21" si="2">IF(L7=0,"",L7-I7)</f>
        <v>23291.48805</v>
      </c>
      <c r="O7" s="71">
        <f t="shared" ref="O7:O21" si="3">ROUND(M7*23.8%,2)</f>
        <v>5555.77</v>
      </c>
      <c r="P7" s="71">
        <f t="shared" ref="P7:P21" si="4">IF(L7=0,"",N7*2.88%)</f>
        <v>670.79485583999997</v>
      </c>
      <c r="Q7" s="72">
        <f t="shared" ref="Q7:R21" si="5">IF(L7=0,"",O7)</f>
        <v>5555.77</v>
      </c>
      <c r="R7" s="72">
        <f t="shared" si="5"/>
        <v>670.79485583999997</v>
      </c>
    </row>
    <row r="8" spans="1:18" x14ac:dyDescent="0.25">
      <c r="A8" s="63">
        <v>3</v>
      </c>
      <c r="B8" s="92">
        <v>2021</v>
      </c>
      <c r="C8" s="64" t="s">
        <v>173</v>
      </c>
      <c r="D8" s="28" t="s">
        <v>168</v>
      </c>
      <c r="E8" s="130">
        <v>12</v>
      </c>
      <c r="F8" s="67">
        <v>1</v>
      </c>
      <c r="G8" s="69">
        <f>IF($D8="","",IF($F8="",VLOOKUP($D8,Tabelle!$A:$E,2,FALSE),VLOOKUP($D8,Tabelle!$A:$E,2,FALSE)*$F8))/12*$E8</f>
        <v>21392.87</v>
      </c>
      <c r="H8" s="69">
        <f>IF($D8="","",IF($F8="",VLOOKUP($D8,Tabelle!$A:$E,3,FALSE),VLOOKUP($D8,Tabelle!$A:$E,3,FALSE)*$F8))/12*$E8</f>
        <v>1782.74</v>
      </c>
      <c r="I8" s="69">
        <f>IF($D8="","",IF($F8="",VLOOKUP($D8,Tabelle!$A:$E,4,FALSE),VLOOKUP($D8,Tabelle!$A:$E,4,FALSE)*$F8))/12*$E8</f>
        <v>52.08</v>
      </c>
      <c r="J8" s="69">
        <f>IF($D8="","",IF($F8="",VLOOKUP($D8,Tabelle!$A:$E,5,FALSE),VLOOKUP($D8,Tabelle!$A:$E,5,FALSE)*$F8))/12*$E8</f>
        <v>115.87805</v>
      </c>
      <c r="K8" s="69">
        <f>IF($D8="","",IF($F8="",VLOOKUP($D8,Tabelle!$A:$F,6,FALSE),VLOOKUP($D8,Tabelle!$A:$F,6,FALSE)*$F8))/12*$E8</f>
        <v>0</v>
      </c>
      <c r="L8" s="70">
        <f t="shared" si="0"/>
        <v>23343.568050000002</v>
      </c>
      <c r="M8" s="71">
        <f t="shared" si="1"/>
        <v>23343.568050000002</v>
      </c>
      <c r="N8" s="71">
        <f t="shared" si="2"/>
        <v>23291.48805</v>
      </c>
      <c r="O8" s="71">
        <f t="shared" si="3"/>
        <v>5555.77</v>
      </c>
      <c r="P8" s="71">
        <f t="shared" si="4"/>
        <v>670.79485583999997</v>
      </c>
      <c r="Q8" s="72">
        <f t="shared" si="5"/>
        <v>5555.77</v>
      </c>
      <c r="R8" s="72">
        <f t="shared" si="5"/>
        <v>670.79485583999997</v>
      </c>
    </row>
    <row r="9" spans="1:18" x14ac:dyDescent="0.25">
      <c r="A9" s="63">
        <v>4</v>
      </c>
      <c r="B9" s="92">
        <v>2022</v>
      </c>
      <c r="C9" s="64" t="s">
        <v>161</v>
      </c>
      <c r="D9" s="28" t="s">
        <v>168</v>
      </c>
      <c r="E9" s="130">
        <v>12</v>
      </c>
      <c r="F9" s="67">
        <v>1</v>
      </c>
      <c r="G9" s="69">
        <f>IF($D9="","",IF($F9="",VLOOKUP($D9,Tabelle!$A:$E,2,FALSE),VLOOKUP($D9,Tabelle!$A:$E,2,FALSE)*$F9))/12*$E9</f>
        <v>21392.87</v>
      </c>
      <c r="H9" s="69">
        <f>IF($D9="","",IF($F9="",VLOOKUP($D9,Tabelle!$A:$E,3,FALSE),VLOOKUP($D9,Tabelle!$A:$E,3,FALSE)*$F9))/12*$E9</f>
        <v>1782.74</v>
      </c>
      <c r="I9" s="69">
        <f>IF($D9="","",IF($F9="",VLOOKUP($D9,Tabelle!$A:$E,4,FALSE),VLOOKUP($D9,Tabelle!$A:$E,4,FALSE)*$F9))/12*$E9</f>
        <v>52.08</v>
      </c>
      <c r="J9" s="69">
        <f>IF($D9="","",IF($F9="",VLOOKUP($D9,Tabelle!$A:$E,5,FALSE),VLOOKUP($D9,Tabelle!$A:$E,5,FALSE)*$F9))/12*$E9</f>
        <v>115.87805</v>
      </c>
      <c r="K9" s="69">
        <f>IF($D9="","",IF($F9="",VLOOKUP($D9,Tabelle!$A:$F,6,FALSE),VLOOKUP($D9,Tabelle!$A:$F,6,FALSE)*$F9))/12*$E9</f>
        <v>0</v>
      </c>
      <c r="L9" s="70">
        <f t="shared" si="0"/>
        <v>23343.568050000002</v>
      </c>
      <c r="M9" s="71">
        <f t="shared" si="1"/>
        <v>23343.568050000002</v>
      </c>
      <c r="N9" s="71">
        <f t="shared" si="2"/>
        <v>23291.48805</v>
      </c>
      <c r="O9" s="71">
        <f t="shared" si="3"/>
        <v>5555.77</v>
      </c>
      <c r="P9" s="71">
        <f t="shared" si="4"/>
        <v>670.79485583999997</v>
      </c>
      <c r="Q9" s="72">
        <f t="shared" si="5"/>
        <v>5555.77</v>
      </c>
      <c r="R9" s="72">
        <f t="shared" si="5"/>
        <v>670.79485583999997</v>
      </c>
    </row>
    <row r="10" spans="1:18" x14ac:dyDescent="0.25">
      <c r="A10" s="63">
        <v>5</v>
      </c>
      <c r="B10" s="92">
        <v>2022</v>
      </c>
      <c r="C10" s="64" t="s">
        <v>162</v>
      </c>
      <c r="D10" s="28" t="s">
        <v>168</v>
      </c>
      <c r="E10" s="130">
        <v>12</v>
      </c>
      <c r="F10" s="67">
        <v>1</v>
      </c>
      <c r="G10" s="69">
        <f>IF($D10="","",IF($F10="",VLOOKUP($D10,Tabelle!$A:$E,2,FALSE),VLOOKUP($D10,Tabelle!$A:$E,2,FALSE)*$F10))/12*$E10</f>
        <v>21392.87</v>
      </c>
      <c r="H10" s="69">
        <f>IF($D10="","",IF($F10="",VLOOKUP($D10,Tabelle!$A:$E,3,FALSE),VLOOKUP($D10,Tabelle!$A:$E,3,FALSE)*$F10))/12*$E10</f>
        <v>1782.74</v>
      </c>
      <c r="I10" s="69">
        <f>IF($D10="","",IF($F10="",VLOOKUP($D10,Tabelle!$A:$E,4,FALSE),VLOOKUP($D10,Tabelle!$A:$E,4,FALSE)*$F10))/12*$E10</f>
        <v>52.08</v>
      </c>
      <c r="J10" s="69">
        <f>IF($D10="","",IF($F10="",VLOOKUP($D10,Tabelle!$A:$E,5,FALSE),VLOOKUP($D10,Tabelle!$A:$E,5,FALSE)*$F10))/12*$E10</f>
        <v>115.87805</v>
      </c>
      <c r="K10" s="69">
        <f>IF($D10="","",IF($F10="",VLOOKUP($D10,Tabelle!$A:$F,6,FALSE),VLOOKUP($D10,Tabelle!$A:$F,6,FALSE)*$F10))/12*$E10</f>
        <v>0</v>
      </c>
      <c r="L10" s="70">
        <f t="shared" si="0"/>
        <v>23343.568050000002</v>
      </c>
      <c r="M10" s="71">
        <f t="shared" si="1"/>
        <v>23343.568050000002</v>
      </c>
      <c r="N10" s="71">
        <f t="shared" si="2"/>
        <v>23291.48805</v>
      </c>
      <c r="O10" s="71">
        <f t="shared" si="3"/>
        <v>5555.77</v>
      </c>
      <c r="P10" s="71">
        <f t="shared" si="4"/>
        <v>670.79485583999997</v>
      </c>
      <c r="Q10" s="72">
        <f t="shared" si="5"/>
        <v>5555.77</v>
      </c>
      <c r="R10" s="72">
        <f t="shared" si="5"/>
        <v>670.79485583999997</v>
      </c>
    </row>
    <row r="11" spans="1:18" x14ac:dyDescent="0.25">
      <c r="A11" s="63">
        <v>6</v>
      </c>
      <c r="B11" s="92">
        <v>2022</v>
      </c>
      <c r="C11" s="64" t="s">
        <v>164</v>
      </c>
      <c r="D11" s="28" t="s">
        <v>168</v>
      </c>
      <c r="E11" s="130">
        <v>12</v>
      </c>
      <c r="F11" s="67">
        <v>1</v>
      </c>
      <c r="G11" s="69">
        <f>IF($D11="","",IF($F11="",VLOOKUP($D11,Tabelle!$A:$E,2,FALSE),VLOOKUP($D11,Tabelle!$A:$E,2,FALSE)*$F11))/12*$E11</f>
        <v>21392.87</v>
      </c>
      <c r="H11" s="69">
        <f>IF($D11="","",IF($F11="",VLOOKUP($D11,Tabelle!$A:$E,3,FALSE),VLOOKUP($D11,Tabelle!$A:$E,3,FALSE)*$F11))/12*$E11</f>
        <v>1782.74</v>
      </c>
      <c r="I11" s="69">
        <f>IF($D11="","",IF($F11="",VLOOKUP($D11,Tabelle!$A:$E,4,FALSE),VLOOKUP($D11,Tabelle!$A:$E,4,FALSE)*$F11))/12*$E11</f>
        <v>52.08</v>
      </c>
      <c r="J11" s="69">
        <f>IF($D11="","",IF($F11="",VLOOKUP($D11,Tabelle!$A:$E,5,FALSE),VLOOKUP($D11,Tabelle!$A:$E,5,FALSE)*$F11))/12*$E11</f>
        <v>115.87805</v>
      </c>
      <c r="K11" s="69">
        <f>IF($D11="","",IF($F11="",VLOOKUP($D11,Tabelle!$A:$F,6,FALSE),VLOOKUP($D11,Tabelle!$A:$F,6,FALSE)*$F11))/12*$E11</f>
        <v>0</v>
      </c>
      <c r="L11" s="70">
        <f t="shared" si="0"/>
        <v>23343.568050000002</v>
      </c>
      <c r="M11" s="71">
        <f t="shared" si="1"/>
        <v>23343.568050000002</v>
      </c>
      <c r="N11" s="71">
        <f t="shared" si="2"/>
        <v>23291.48805</v>
      </c>
      <c r="O11" s="71">
        <f t="shared" si="3"/>
        <v>5555.77</v>
      </c>
      <c r="P11" s="71">
        <f t="shared" si="4"/>
        <v>670.79485583999997</v>
      </c>
      <c r="Q11" s="72">
        <f t="shared" si="5"/>
        <v>5555.77</v>
      </c>
      <c r="R11" s="72">
        <f t="shared" si="5"/>
        <v>670.79485583999997</v>
      </c>
    </row>
    <row r="12" spans="1:18" x14ac:dyDescent="0.25">
      <c r="A12" s="63">
        <v>7</v>
      </c>
      <c r="B12" s="92">
        <v>2022</v>
      </c>
      <c r="C12" s="64" t="s">
        <v>165</v>
      </c>
      <c r="D12" s="28" t="s">
        <v>169</v>
      </c>
      <c r="E12" s="130">
        <v>12</v>
      </c>
      <c r="F12" s="67">
        <v>1</v>
      </c>
      <c r="G12" s="69">
        <f>IF($D12="","",IF($F12="",VLOOKUP($D12,Tabelle!$A:$E,2,FALSE),VLOOKUP($D12,Tabelle!$A:$E,2,FALSE)*$F12))/12*$E12</f>
        <v>19034.509999999998</v>
      </c>
      <c r="H12" s="69">
        <f>IF($D12="","",IF($F12="",VLOOKUP($D12,Tabelle!$A:$E,3,FALSE),VLOOKUP($D12,Tabelle!$A:$E,3,FALSE)*$F12))/12*$E12</f>
        <v>1586.21</v>
      </c>
      <c r="I12" s="69">
        <f>IF($D12="","",IF($F12="",VLOOKUP($D12,Tabelle!$A:$E,4,FALSE),VLOOKUP($D12,Tabelle!$A:$E,4,FALSE)*$F12))/12*$E12</f>
        <v>44.76</v>
      </c>
      <c r="J12" s="69">
        <f>IF($D12="","",IF($F12="",VLOOKUP($D12,Tabelle!$A:$E,5,FALSE),VLOOKUP($D12,Tabelle!$A:$E,5,FALSE)*$F12))/12*$E12</f>
        <v>103.1036</v>
      </c>
      <c r="K12" s="69">
        <f>IF($D12="","",IF($F12="",VLOOKUP($D12,Tabelle!$A:$F,6,FALSE),VLOOKUP($D12,Tabelle!$A:$F,6,FALSE)*$F12))/12*$E12</f>
        <v>0</v>
      </c>
      <c r="L12" s="70">
        <f t="shared" si="0"/>
        <v>20768.583599999994</v>
      </c>
      <c r="M12" s="71">
        <f t="shared" si="1"/>
        <v>20768.583599999994</v>
      </c>
      <c r="N12" s="71">
        <f t="shared" si="2"/>
        <v>20723.823599999996</v>
      </c>
      <c r="O12" s="71">
        <f t="shared" si="3"/>
        <v>4942.92</v>
      </c>
      <c r="P12" s="71">
        <f t="shared" si="4"/>
        <v>596.8461196799999</v>
      </c>
      <c r="Q12" s="72">
        <f t="shared" si="5"/>
        <v>4942.92</v>
      </c>
      <c r="R12" s="72">
        <f t="shared" si="5"/>
        <v>596.8461196799999</v>
      </c>
    </row>
    <row r="13" spans="1:18" x14ac:dyDescent="0.25">
      <c r="A13" s="63">
        <v>8</v>
      </c>
      <c r="B13" s="92">
        <v>2023</v>
      </c>
      <c r="C13" s="64" t="s">
        <v>174</v>
      </c>
      <c r="D13" s="28" t="s">
        <v>168</v>
      </c>
      <c r="E13" s="130">
        <v>12</v>
      </c>
      <c r="F13" s="67">
        <v>1</v>
      </c>
      <c r="G13" s="69">
        <f>IF($D13="","",IF($F13="",VLOOKUP($D13,Tabelle!$A:$E,2,FALSE),VLOOKUP($D13,Tabelle!$A:$E,2,FALSE)*$F13))/12*$E13</f>
        <v>21392.87</v>
      </c>
      <c r="H13" s="69">
        <f>IF($D13="","",IF($F13="",VLOOKUP($D13,Tabelle!$A:$E,3,FALSE),VLOOKUP($D13,Tabelle!$A:$E,3,FALSE)*$F13))/12*$E13</f>
        <v>1782.74</v>
      </c>
      <c r="I13" s="69">
        <f>IF($D13="","",IF($F13="",VLOOKUP($D13,Tabelle!$A:$E,4,FALSE),VLOOKUP($D13,Tabelle!$A:$E,4,FALSE)*$F13))/12*$E13</f>
        <v>52.08</v>
      </c>
      <c r="J13" s="69">
        <f>IF($D13="","",IF($F13="",VLOOKUP($D13,Tabelle!$A:$E,5,FALSE),VLOOKUP($D13,Tabelle!$A:$E,5,FALSE)*$F13))/12*$E13</f>
        <v>115.87805</v>
      </c>
      <c r="K13" s="69">
        <f>IF($D13="","",IF($F13="",VLOOKUP($D13,Tabelle!$A:$F,6,FALSE),VLOOKUP($D13,Tabelle!$A:$F,6,FALSE)*$F13))/12*$E13</f>
        <v>0</v>
      </c>
      <c r="L13" s="70">
        <f t="shared" si="0"/>
        <v>23343.568050000002</v>
      </c>
      <c r="M13" s="71">
        <f t="shared" si="1"/>
        <v>23343.568050000002</v>
      </c>
      <c r="N13" s="71">
        <f t="shared" si="2"/>
        <v>23291.48805</v>
      </c>
      <c r="O13" s="71">
        <f t="shared" si="3"/>
        <v>5555.77</v>
      </c>
      <c r="P13" s="71">
        <f t="shared" si="4"/>
        <v>670.79485583999997</v>
      </c>
      <c r="Q13" s="72">
        <f t="shared" si="5"/>
        <v>5555.77</v>
      </c>
      <c r="R13" s="72">
        <f t="shared" si="5"/>
        <v>670.79485583999997</v>
      </c>
    </row>
    <row r="14" spans="1:18" x14ac:dyDescent="0.25">
      <c r="A14" s="63">
        <v>9</v>
      </c>
      <c r="B14" s="92">
        <v>2023</v>
      </c>
      <c r="C14" s="64" t="s">
        <v>175</v>
      </c>
      <c r="D14" s="28" t="s">
        <v>168</v>
      </c>
      <c r="E14" s="130">
        <v>12</v>
      </c>
      <c r="F14" s="67">
        <v>1</v>
      </c>
      <c r="G14" s="69">
        <f>IF($D14="","",IF($F14="",VLOOKUP($D14,Tabelle!$A:$E,2,FALSE),VLOOKUP($D14,Tabelle!$A:$E,2,FALSE)*$F14))/12*$E14</f>
        <v>21392.87</v>
      </c>
      <c r="H14" s="69">
        <f>IF($D14="","",IF($F14="",VLOOKUP($D14,Tabelle!$A:$E,3,FALSE),VLOOKUP($D14,Tabelle!$A:$E,3,FALSE)*$F14))/12*$E14</f>
        <v>1782.74</v>
      </c>
      <c r="I14" s="69">
        <f>IF($D14="","",IF($F14="",VLOOKUP($D14,Tabelle!$A:$E,4,FALSE),VLOOKUP($D14,Tabelle!$A:$E,4,FALSE)*$F14))/12*$E14</f>
        <v>52.08</v>
      </c>
      <c r="J14" s="69">
        <f>IF($D14="","",IF($F14="",VLOOKUP($D14,Tabelle!$A:$E,5,FALSE),VLOOKUP($D14,Tabelle!$A:$E,5,FALSE)*$F14))/12*$E14</f>
        <v>115.87805</v>
      </c>
      <c r="K14" s="69">
        <f>IF($D14="","",IF($F14="",VLOOKUP($D14,Tabelle!$A:$F,6,FALSE),VLOOKUP($D14,Tabelle!$A:$F,6,FALSE)*$F14))/12*$E14</f>
        <v>0</v>
      </c>
      <c r="L14" s="70">
        <f t="shared" si="0"/>
        <v>23343.568050000002</v>
      </c>
      <c r="M14" s="71">
        <f t="shared" si="1"/>
        <v>23343.568050000002</v>
      </c>
      <c r="N14" s="71">
        <f t="shared" si="2"/>
        <v>23291.48805</v>
      </c>
      <c r="O14" s="71">
        <f t="shared" si="3"/>
        <v>5555.77</v>
      </c>
      <c r="P14" s="71">
        <f t="shared" si="4"/>
        <v>670.79485583999997</v>
      </c>
      <c r="Q14" s="72">
        <f t="shared" si="5"/>
        <v>5555.77</v>
      </c>
      <c r="R14" s="72">
        <f t="shared" si="5"/>
        <v>670.79485583999997</v>
      </c>
    </row>
    <row r="15" spans="1:18" x14ac:dyDescent="0.25">
      <c r="A15" s="63">
        <v>10</v>
      </c>
      <c r="B15" s="92">
        <v>2024</v>
      </c>
      <c r="C15" s="64" t="s">
        <v>176</v>
      </c>
      <c r="D15" s="28" t="s">
        <v>168</v>
      </c>
      <c r="E15" s="130">
        <v>12</v>
      </c>
      <c r="F15" s="67">
        <v>1</v>
      </c>
      <c r="G15" s="69">
        <f>IF($D15="","",IF($F15="",VLOOKUP($D15,Tabelle!$A:$E,2,FALSE),VLOOKUP($D15,Tabelle!$A:$E,2,FALSE)*$F15))/12*$E15</f>
        <v>21392.87</v>
      </c>
      <c r="H15" s="69">
        <f>IF($D15="","",IF($F15="",VLOOKUP($D15,Tabelle!$A:$E,3,FALSE),VLOOKUP($D15,Tabelle!$A:$E,3,FALSE)*$F15))/12*$E15</f>
        <v>1782.74</v>
      </c>
      <c r="I15" s="69">
        <f>IF($D15="","",IF($F15="",VLOOKUP($D15,Tabelle!$A:$E,4,FALSE),VLOOKUP($D15,Tabelle!$A:$E,4,FALSE)*$F15))/12*$E15</f>
        <v>52.08</v>
      </c>
      <c r="J15" s="69">
        <f>IF($D15="","",IF($F15="",VLOOKUP($D15,Tabelle!$A:$E,5,FALSE),VLOOKUP($D15,Tabelle!$A:$E,5,FALSE)*$F15))/12*$E15</f>
        <v>115.87805</v>
      </c>
      <c r="K15" s="69">
        <f>IF($D15="","",IF($F15="",VLOOKUP($D15,Tabelle!$A:$F,6,FALSE),VLOOKUP($D15,Tabelle!$A:$F,6,FALSE)*$F15))/12*$E15</f>
        <v>0</v>
      </c>
      <c r="L15" s="70">
        <f t="shared" si="0"/>
        <v>23343.568050000002</v>
      </c>
      <c r="M15" s="71">
        <f t="shared" si="1"/>
        <v>23343.568050000002</v>
      </c>
      <c r="N15" s="71">
        <f t="shared" si="2"/>
        <v>23291.48805</v>
      </c>
      <c r="O15" s="71">
        <f t="shared" si="3"/>
        <v>5555.77</v>
      </c>
      <c r="P15" s="71">
        <f t="shared" si="4"/>
        <v>670.79485583999997</v>
      </c>
      <c r="Q15" s="72">
        <f t="shared" si="5"/>
        <v>5555.77</v>
      </c>
      <c r="R15" s="72">
        <f t="shared" si="5"/>
        <v>670.79485583999997</v>
      </c>
    </row>
    <row r="16" spans="1:18" x14ac:dyDescent="0.25">
      <c r="A16" s="63">
        <v>11</v>
      </c>
      <c r="B16" s="92">
        <v>2024</v>
      </c>
      <c r="C16" s="64" t="s">
        <v>181</v>
      </c>
      <c r="D16" s="28" t="s">
        <v>167</v>
      </c>
      <c r="E16" s="130">
        <v>12</v>
      </c>
      <c r="F16" s="67">
        <v>1</v>
      </c>
      <c r="G16" s="69">
        <f>IF($D16="","",IF($F16="",VLOOKUP($D16,Tabelle!$A:$E,2,FALSE),VLOOKUP($D16,Tabelle!$A:$E,2,FALSE)*$F16))/12*$E16</f>
        <v>23212.35</v>
      </c>
      <c r="H16" s="69">
        <f>IF($D16="","",IF($F16="",VLOOKUP($D16,Tabelle!$A:$E,3,FALSE),VLOOKUP($D16,Tabelle!$A:$E,3,FALSE)*$F16))/12*$E16</f>
        <v>1934.36</v>
      </c>
      <c r="I16" s="69">
        <f>IF($D16="","",IF($F16="",VLOOKUP($D16,Tabelle!$A:$E,4,FALSE),VLOOKUP($D16,Tabelle!$A:$E,4,FALSE)*$F16))/12*$E16</f>
        <v>59.400000000000006</v>
      </c>
      <c r="J16" s="69">
        <f>IF($D16="","",IF($F16="",VLOOKUP($D16,Tabelle!$A:$E,5,FALSE),VLOOKUP($D16,Tabelle!$A:$E,5,FALSE)*$F16))/12*$E16</f>
        <v>125.73355000000001</v>
      </c>
      <c r="K16" s="69">
        <f>IF($D16="","",IF($F16="",VLOOKUP($D16,Tabelle!$A:$F,6,FALSE),VLOOKUP($D16,Tabelle!$A:$F,6,FALSE)*$F16))/12*$E16</f>
        <v>0</v>
      </c>
      <c r="L16" s="70">
        <f t="shared" si="0"/>
        <v>25331.843550000001</v>
      </c>
      <c r="M16" s="71">
        <f t="shared" si="1"/>
        <v>25331.843550000001</v>
      </c>
      <c r="N16" s="71">
        <f t="shared" si="2"/>
        <v>25272.44355</v>
      </c>
      <c r="O16" s="71">
        <f t="shared" si="3"/>
        <v>6028.98</v>
      </c>
      <c r="P16" s="71">
        <f t="shared" si="4"/>
        <v>727.84637423999993</v>
      </c>
      <c r="Q16" s="72">
        <f t="shared" si="5"/>
        <v>6028.98</v>
      </c>
      <c r="R16" s="72">
        <f t="shared" si="5"/>
        <v>727.84637423999993</v>
      </c>
    </row>
    <row r="17" spans="1:18" x14ac:dyDescent="0.25">
      <c r="A17" s="63">
        <v>12</v>
      </c>
      <c r="B17" s="92"/>
      <c r="C17" s="64"/>
      <c r="D17" s="65" t="s">
        <v>168</v>
      </c>
      <c r="E17" s="66"/>
      <c r="F17" s="67">
        <v>1</v>
      </c>
      <c r="G17" s="69">
        <f>IF($D17="","",IF($F17="",VLOOKUP($D17,Tabelle!$A:$E,2,FALSE),VLOOKUP($D17,Tabelle!$A:$E,2,FALSE)*$F17))/12*$E17</f>
        <v>0</v>
      </c>
      <c r="H17" s="69">
        <f>IF($D17="","",IF($F17="",VLOOKUP($D17,Tabelle!$A:$E,3,FALSE),VLOOKUP($D17,Tabelle!$A:$E,3,FALSE)*$F17))/12*$E17</f>
        <v>0</v>
      </c>
      <c r="I17" s="69">
        <f>IF($D17="","",IF($F17="",VLOOKUP($D17,Tabelle!$A:$E,4,FALSE),VLOOKUP($D17,Tabelle!$A:$E,4,FALSE)*$F17))/12*$E17</f>
        <v>0</v>
      </c>
      <c r="J17" s="69">
        <f>IF($D17="","",IF($F17="",VLOOKUP($D17,Tabelle!$A:$E,5,FALSE),VLOOKUP($D17,Tabelle!$A:$E,5,FALSE)*$F17))/12*$E17</f>
        <v>0</v>
      </c>
      <c r="K17" s="69">
        <f>IF($D17="","",IF($F17="",VLOOKUP($D17,Tabelle!$A:$F,6,FALSE),VLOOKUP($D17,Tabelle!$A:$F,6,FALSE)*$F17))/12*$E17</f>
        <v>0</v>
      </c>
      <c r="L17" s="70">
        <f t="shared" si="0"/>
        <v>0</v>
      </c>
      <c r="M17" s="71">
        <f t="shared" si="1"/>
        <v>0</v>
      </c>
      <c r="N17" s="71" t="str">
        <f t="shared" si="2"/>
        <v/>
      </c>
      <c r="O17" s="71">
        <f t="shared" si="3"/>
        <v>0</v>
      </c>
      <c r="P17" s="71" t="str">
        <f t="shared" si="4"/>
        <v/>
      </c>
      <c r="Q17" s="72" t="str">
        <f t="shared" si="5"/>
        <v/>
      </c>
      <c r="R17" s="72" t="str">
        <f t="shared" si="5"/>
        <v/>
      </c>
    </row>
    <row r="18" spans="1:18" x14ac:dyDescent="0.25">
      <c r="A18" s="63">
        <v>13</v>
      </c>
      <c r="B18" s="92"/>
      <c r="C18" s="64"/>
      <c r="D18" s="65" t="s">
        <v>168</v>
      </c>
      <c r="E18" s="66"/>
      <c r="F18" s="67">
        <v>1</v>
      </c>
      <c r="G18" s="69">
        <f>IF($D18="","",IF($F18="",VLOOKUP($D18,Tabelle!$A:$E,2,FALSE),VLOOKUP($D18,Tabelle!$A:$E,2,FALSE)*$F18))/12*$E18</f>
        <v>0</v>
      </c>
      <c r="H18" s="69">
        <f>IF($D18="","",IF($F18="",VLOOKUP($D18,Tabelle!$A:$E,3,FALSE),VLOOKUP($D18,Tabelle!$A:$E,3,FALSE)*$F18))/12*$E18</f>
        <v>0</v>
      </c>
      <c r="I18" s="69">
        <f>IF($D18="","",IF($F18="",VLOOKUP($D18,Tabelle!$A:$E,4,FALSE),VLOOKUP($D18,Tabelle!$A:$E,4,FALSE)*$F18))/12*$E18</f>
        <v>0</v>
      </c>
      <c r="J18" s="69">
        <f>IF($D18="","",IF($F18="",VLOOKUP($D18,Tabelle!$A:$E,5,FALSE),VLOOKUP($D18,Tabelle!$A:$E,5,FALSE)*$F18))/12*$E18</f>
        <v>0</v>
      </c>
      <c r="K18" s="69">
        <f>IF($D18="","",IF($F18="",VLOOKUP($D18,Tabelle!$A:$F,6,FALSE),VLOOKUP($D18,Tabelle!$A:$F,6,FALSE)*$F18))/12*$E18</f>
        <v>0</v>
      </c>
      <c r="L18" s="70">
        <f t="shared" si="0"/>
        <v>0</v>
      </c>
      <c r="M18" s="71">
        <f t="shared" si="1"/>
        <v>0</v>
      </c>
      <c r="N18" s="71" t="str">
        <f t="shared" si="2"/>
        <v/>
      </c>
      <c r="O18" s="71">
        <f t="shared" si="3"/>
        <v>0</v>
      </c>
      <c r="P18" s="71" t="str">
        <f t="shared" si="4"/>
        <v/>
      </c>
      <c r="Q18" s="72" t="str">
        <f t="shared" si="5"/>
        <v/>
      </c>
      <c r="R18" s="72" t="str">
        <f t="shared" si="5"/>
        <v/>
      </c>
    </row>
    <row r="19" spans="1:18" x14ac:dyDescent="0.25">
      <c r="A19" s="63">
        <v>14</v>
      </c>
      <c r="B19" s="92"/>
      <c r="C19" s="64"/>
      <c r="D19" s="65" t="s">
        <v>168</v>
      </c>
      <c r="E19" s="66"/>
      <c r="F19" s="67">
        <v>1</v>
      </c>
      <c r="G19" s="69">
        <f>IF($D19="","",IF($F19="",VLOOKUP($D19,Tabelle!$A:$E,2,FALSE),VLOOKUP($D19,Tabelle!$A:$E,2,FALSE)*$F19))/12*$E19</f>
        <v>0</v>
      </c>
      <c r="H19" s="69">
        <f>IF($D19="","",IF($F19="",VLOOKUP($D19,Tabelle!$A:$E,3,FALSE),VLOOKUP($D19,Tabelle!$A:$E,3,FALSE)*$F19))/12*$E19</f>
        <v>0</v>
      </c>
      <c r="I19" s="69">
        <f>IF($D19="","",IF($F19="",VLOOKUP($D19,Tabelle!$A:$E,4,FALSE),VLOOKUP($D19,Tabelle!$A:$E,4,FALSE)*$F19))/12*$E19</f>
        <v>0</v>
      </c>
      <c r="J19" s="69">
        <f>IF($D19="","",IF($F19="",VLOOKUP($D19,Tabelle!$A:$E,5,FALSE),VLOOKUP($D19,Tabelle!$A:$E,5,FALSE)*$F19))/12*$E19</f>
        <v>0</v>
      </c>
      <c r="K19" s="69">
        <f>IF($D19="","",IF($F19="",VLOOKUP($D19,Tabelle!$A:$F,6,FALSE),VLOOKUP($D19,Tabelle!$A:$F,6,FALSE)*$F19))/12*$E19</f>
        <v>0</v>
      </c>
      <c r="L19" s="70">
        <f t="shared" si="0"/>
        <v>0</v>
      </c>
      <c r="M19" s="71">
        <f t="shared" si="1"/>
        <v>0</v>
      </c>
      <c r="N19" s="71" t="str">
        <f t="shared" si="2"/>
        <v/>
      </c>
      <c r="O19" s="71">
        <f t="shared" si="3"/>
        <v>0</v>
      </c>
      <c r="P19" s="71" t="str">
        <f t="shared" si="4"/>
        <v/>
      </c>
      <c r="Q19" s="72" t="str">
        <f t="shared" si="5"/>
        <v/>
      </c>
      <c r="R19" s="72" t="str">
        <f t="shared" si="5"/>
        <v/>
      </c>
    </row>
    <row r="20" spans="1:18" x14ac:dyDescent="0.25">
      <c r="A20" s="63">
        <v>15</v>
      </c>
      <c r="B20" s="92"/>
      <c r="C20" s="64"/>
      <c r="D20" s="65" t="s">
        <v>168</v>
      </c>
      <c r="E20" s="66"/>
      <c r="F20" s="67">
        <v>1</v>
      </c>
      <c r="G20" s="69">
        <f>IF($D20="","",IF($F20="",VLOOKUP($D20,Tabelle!$A:$E,2,FALSE),VLOOKUP($D20,Tabelle!$A:$E,2,FALSE)*$F20))/12*$E20</f>
        <v>0</v>
      </c>
      <c r="H20" s="69">
        <f>IF($D20="","",IF($F20="",VLOOKUP($D20,Tabelle!$A:$E,3,FALSE),VLOOKUP($D20,Tabelle!$A:$E,3,FALSE)*$F20))/12*$E20</f>
        <v>0</v>
      </c>
      <c r="I20" s="69">
        <f>IF($D20="","",IF($F20="",VLOOKUP($D20,Tabelle!$A:$E,4,FALSE),VLOOKUP($D20,Tabelle!$A:$E,4,FALSE)*$F20))/12*$E20</f>
        <v>0</v>
      </c>
      <c r="J20" s="69">
        <f>IF($D20="","",IF($F20="",VLOOKUP($D20,Tabelle!$A:$E,5,FALSE),VLOOKUP($D20,Tabelle!$A:$E,5,FALSE)*$F20))/12*$E20</f>
        <v>0</v>
      </c>
      <c r="K20" s="69">
        <f>IF($D20="","",IF($F20="",VLOOKUP($D20,Tabelle!$A:$F,6,FALSE),VLOOKUP($D20,Tabelle!$A:$F,6,FALSE)*$F20))/12*$E20</f>
        <v>0</v>
      </c>
      <c r="L20" s="70">
        <f t="shared" si="0"/>
        <v>0</v>
      </c>
      <c r="M20" s="71">
        <f t="shared" si="1"/>
        <v>0</v>
      </c>
      <c r="N20" s="71" t="str">
        <f t="shared" si="2"/>
        <v/>
      </c>
      <c r="O20" s="71">
        <f t="shared" si="3"/>
        <v>0</v>
      </c>
      <c r="P20" s="71" t="str">
        <f t="shared" si="4"/>
        <v/>
      </c>
      <c r="Q20" s="72" t="str">
        <f t="shared" si="5"/>
        <v/>
      </c>
      <c r="R20" s="72" t="str">
        <f t="shared" si="5"/>
        <v/>
      </c>
    </row>
    <row r="21" spans="1:18" x14ac:dyDescent="0.25">
      <c r="A21" s="63">
        <v>16</v>
      </c>
      <c r="B21" s="92"/>
      <c r="C21" s="64"/>
      <c r="D21" s="65" t="s">
        <v>168</v>
      </c>
      <c r="E21" s="66"/>
      <c r="F21" s="67">
        <v>1</v>
      </c>
      <c r="G21" s="69">
        <f>IF($D21="","",IF($F21="",VLOOKUP($D21,Tabelle!$A:$E,2,FALSE),VLOOKUP($D21,Tabelle!$A:$E,2,FALSE)*$F21))/12*$E21</f>
        <v>0</v>
      </c>
      <c r="H21" s="69">
        <f>IF($D21="","",IF($F21="",VLOOKUP($D21,Tabelle!$A:$E,3,FALSE),VLOOKUP($D21,Tabelle!$A:$E,3,FALSE)*$F21))/12*$E21</f>
        <v>0</v>
      </c>
      <c r="I21" s="69">
        <f>IF($D21="","",IF($F21="",VLOOKUP($D21,Tabelle!$A:$E,4,FALSE),VLOOKUP($D21,Tabelle!$A:$E,4,FALSE)*$F21))/12*$E21</f>
        <v>0</v>
      </c>
      <c r="J21" s="69">
        <f>IF($D21="","",IF($F21="",VLOOKUP($D21,Tabelle!$A:$E,5,FALSE),VLOOKUP($D21,Tabelle!$A:$E,5,FALSE)*$F21))/12*$E21</f>
        <v>0</v>
      </c>
      <c r="K21" s="69">
        <f>IF($D21="","",IF($F21="",VLOOKUP($D21,Tabelle!$A:$F,6,FALSE),VLOOKUP($D21,Tabelle!$A:$F,6,FALSE)*$F21))/12*$E21</f>
        <v>0</v>
      </c>
      <c r="L21" s="70">
        <f t="shared" si="0"/>
        <v>0</v>
      </c>
      <c r="M21" s="71">
        <f t="shared" si="1"/>
        <v>0</v>
      </c>
      <c r="N21" s="71" t="str">
        <f t="shared" si="2"/>
        <v/>
      </c>
      <c r="O21" s="71">
        <f t="shared" si="3"/>
        <v>0</v>
      </c>
      <c r="P21" s="71" t="str">
        <f t="shared" si="4"/>
        <v/>
      </c>
      <c r="Q21" s="72" t="str">
        <f t="shared" si="5"/>
        <v/>
      </c>
      <c r="R21" s="72" t="str">
        <f t="shared" si="5"/>
        <v/>
      </c>
    </row>
    <row r="22" spans="1:18" x14ac:dyDescent="0.25">
      <c r="L22" s="84">
        <f>SUM(L6:L21)</f>
        <v>256192.53959999999</v>
      </c>
      <c r="M22" s="82"/>
      <c r="O22" s="82"/>
      <c r="Q22" s="85">
        <f>SUM(Q6:Q21)</f>
        <v>60973.83</v>
      </c>
      <c r="R22" s="85">
        <f>SUM(R6:R21)</f>
        <v>7361.8461964800008</v>
      </c>
    </row>
    <row r="23" spans="1:18" ht="18.75" x14ac:dyDescent="0.3">
      <c r="B23" s="86" t="s">
        <v>64</v>
      </c>
      <c r="C23" s="87">
        <f>L22+Q22+R22</f>
        <v>324528.21579647996</v>
      </c>
    </row>
  </sheetData>
  <pageMargins left="0.7" right="0.7" top="0.75" bottom="0.75" header="0.3" footer="0.3"/>
  <pageSetup paperSize="9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0A47D-2F56-47FC-8A62-2EC5604DFE8B}">
  <sheetPr>
    <tabColor theme="8" tint="-0.249977111117893"/>
    <pageSetUpPr fitToPage="1"/>
  </sheetPr>
  <dimension ref="A1:R23"/>
  <sheetViews>
    <sheetView workbookViewId="0">
      <selection activeCell="G2" sqref="G2"/>
    </sheetView>
  </sheetViews>
  <sheetFormatPr defaultRowHeight="15" x14ac:dyDescent="0.25"/>
  <cols>
    <col min="2" max="2" width="13.7109375" customWidth="1"/>
    <col min="3" max="3" width="20.85546875" customWidth="1"/>
    <col min="4" max="4" width="20.42578125" customWidth="1"/>
    <col min="7" max="11" width="13.140625" customWidth="1"/>
    <col min="12" max="12" width="12.42578125" customWidth="1"/>
  </cols>
  <sheetData>
    <row r="1" spans="1:18" ht="21" x14ac:dyDescent="0.35">
      <c r="A1" s="89" t="s">
        <v>121</v>
      </c>
      <c r="B1" s="88"/>
      <c r="C1" s="88"/>
      <c r="D1" s="88"/>
      <c r="E1" s="88" t="s">
        <v>122</v>
      </c>
      <c r="F1" s="88"/>
      <c r="G1" s="90">
        <v>2026</v>
      </c>
      <c r="H1" s="88"/>
    </row>
    <row r="2" spans="1:18" ht="12.75" customHeight="1" x14ac:dyDescent="0.35">
      <c r="A2" s="89"/>
      <c r="B2" s="88"/>
      <c r="C2" s="88"/>
      <c r="D2" s="88"/>
      <c r="E2" s="88"/>
      <c r="F2" s="88"/>
      <c r="G2" s="90"/>
      <c r="H2" s="88"/>
    </row>
    <row r="3" spans="1:18" ht="15.75" x14ac:dyDescent="0.25">
      <c r="A3" s="91" t="s">
        <v>123</v>
      </c>
    </row>
    <row r="5" spans="1:18" ht="45" x14ac:dyDescent="0.25">
      <c r="A5" s="62" t="s">
        <v>92</v>
      </c>
      <c r="B5" s="62" t="s">
        <v>120</v>
      </c>
      <c r="C5" s="62" t="s">
        <v>93</v>
      </c>
      <c r="D5" s="62" t="s">
        <v>166</v>
      </c>
      <c r="E5" s="62" t="s">
        <v>94</v>
      </c>
      <c r="F5" s="62" t="s">
        <v>95</v>
      </c>
      <c r="G5" s="68" t="s">
        <v>96</v>
      </c>
      <c r="H5" s="68" t="s">
        <v>97</v>
      </c>
      <c r="I5" s="68" t="s">
        <v>98</v>
      </c>
      <c r="J5" s="68" t="s">
        <v>99</v>
      </c>
      <c r="K5" s="68"/>
      <c r="L5" s="83" t="s">
        <v>100</v>
      </c>
      <c r="M5" s="68" t="s">
        <v>101</v>
      </c>
      <c r="N5" s="68" t="s">
        <v>102</v>
      </c>
      <c r="O5" s="68" t="s">
        <v>103</v>
      </c>
      <c r="P5" s="68" t="s">
        <v>104</v>
      </c>
      <c r="Q5" s="81" t="s">
        <v>105</v>
      </c>
      <c r="R5" s="81" t="s">
        <v>106</v>
      </c>
    </row>
    <row r="6" spans="1:18" x14ac:dyDescent="0.25">
      <c r="A6" s="63">
        <v>1</v>
      </c>
      <c r="B6" s="92">
        <v>2020</v>
      </c>
      <c r="C6" s="64" t="s">
        <v>172</v>
      </c>
      <c r="D6" s="28" t="s">
        <v>168</v>
      </c>
      <c r="E6" s="130">
        <v>12</v>
      </c>
      <c r="F6" s="67">
        <v>1</v>
      </c>
      <c r="G6" s="69">
        <f>IF($D6="","",IF($F6="",VLOOKUP($D6,Tabelle!$A:$E,2,FALSE),VLOOKUP($D6,Tabelle!$A:$E,2,FALSE)*$F6))/12*$E6</f>
        <v>21392.87</v>
      </c>
      <c r="H6" s="69">
        <f>IF($D6="","",IF($F6="",VLOOKUP($D6,Tabelle!$A:$E,3,FALSE),VLOOKUP($D6,Tabelle!$A:$E,3,FALSE)*$F6))/12*$E6</f>
        <v>1782.74</v>
      </c>
      <c r="I6" s="69">
        <f>IF($D6="","",IF($F6="",VLOOKUP($D6,Tabelle!$A:$E,4,FALSE),VLOOKUP($D6,Tabelle!$A:$E,4,FALSE)*$F6))/12*$E6</f>
        <v>52.08</v>
      </c>
      <c r="J6" s="69">
        <f>IF($D6="","",IF($F6="",VLOOKUP($D6,Tabelle!$A:$E,5,FALSE),VLOOKUP($D6,Tabelle!$A:$E,5,FALSE)*$F6))/12*$E6</f>
        <v>115.87805</v>
      </c>
      <c r="K6" s="69">
        <f>IF($D6="","",IF($F6="",VLOOKUP($D6,Tabelle!$A:$F,6,FALSE),VLOOKUP($D6,Tabelle!$A:$F,6,FALSE)*$F6))/12*$E6</f>
        <v>0</v>
      </c>
      <c r="L6" s="70">
        <f>SUM(G6:K6)</f>
        <v>23343.568050000002</v>
      </c>
      <c r="M6" s="71">
        <f>L6</f>
        <v>23343.568050000002</v>
      </c>
      <c r="N6" s="71">
        <f>IF(L6=0,"",L6-I6)</f>
        <v>23291.48805</v>
      </c>
      <c r="O6" s="71">
        <f>ROUND(M6*23.8%,2)</f>
        <v>5555.77</v>
      </c>
      <c r="P6" s="71">
        <f>IF(L6=0,"",N6*2.88%)</f>
        <v>670.79485583999997</v>
      </c>
      <c r="Q6" s="72">
        <f>IF(L6=0,"",O6)</f>
        <v>5555.77</v>
      </c>
      <c r="R6" s="72">
        <f>IF(M6=0,"",P6)</f>
        <v>670.79485583999997</v>
      </c>
    </row>
    <row r="7" spans="1:18" x14ac:dyDescent="0.25">
      <c r="A7" s="63">
        <v>2</v>
      </c>
      <c r="B7" s="92">
        <v>2021</v>
      </c>
      <c r="C7" s="64" t="s">
        <v>156</v>
      </c>
      <c r="D7" s="28" t="s">
        <v>168</v>
      </c>
      <c r="E7" s="130">
        <v>12</v>
      </c>
      <c r="F7" s="67">
        <v>1</v>
      </c>
      <c r="G7" s="69">
        <f>IF($D7="","",IF($F7="",VLOOKUP($D7,Tabelle!$A:$E,2,FALSE),VLOOKUP($D7,Tabelle!$A:$E,2,FALSE)*$F7))/12*$E7</f>
        <v>21392.87</v>
      </c>
      <c r="H7" s="69">
        <f>IF($D7="","",IF($F7="",VLOOKUP($D7,Tabelle!$A:$E,3,FALSE),VLOOKUP($D7,Tabelle!$A:$E,3,FALSE)*$F7))/12*$E7</f>
        <v>1782.74</v>
      </c>
      <c r="I7" s="69">
        <f>IF($D7="","",IF($F7="",VLOOKUP($D7,Tabelle!$A:$E,4,FALSE),VLOOKUP($D7,Tabelle!$A:$E,4,FALSE)*$F7))/12*$E7</f>
        <v>52.08</v>
      </c>
      <c r="J7" s="69">
        <f>IF($D7="","",IF($F7="",VLOOKUP($D7,Tabelle!$A:$E,5,FALSE),VLOOKUP($D7,Tabelle!$A:$E,5,FALSE)*$F7))/12*$E7</f>
        <v>115.87805</v>
      </c>
      <c r="K7" s="69">
        <f>IF($D7="","",IF($F7="",VLOOKUP($D7,Tabelle!$A:$F,6,FALSE),VLOOKUP($D7,Tabelle!$A:$F,6,FALSE)*$F7))/12*$E7</f>
        <v>0</v>
      </c>
      <c r="L7" s="70">
        <f t="shared" ref="L7:L21" si="0">SUM(G7:K7)</f>
        <v>23343.568050000002</v>
      </c>
      <c r="M7" s="71">
        <f t="shared" ref="M7:M21" si="1">L7</f>
        <v>23343.568050000002</v>
      </c>
      <c r="N7" s="71">
        <f t="shared" ref="N7:N21" si="2">IF(L7=0,"",L7-I7)</f>
        <v>23291.48805</v>
      </c>
      <c r="O7" s="71">
        <f t="shared" ref="O7:O21" si="3">ROUND(M7*23.8%,2)</f>
        <v>5555.77</v>
      </c>
      <c r="P7" s="71">
        <f t="shared" ref="P7:P21" si="4">IF(L7=0,"",N7*2.88%)</f>
        <v>670.79485583999997</v>
      </c>
      <c r="Q7" s="72">
        <f t="shared" ref="Q7:R21" si="5">IF(L7=0,"",O7)</f>
        <v>5555.77</v>
      </c>
      <c r="R7" s="72">
        <f t="shared" si="5"/>
        <v>670.79485583999997</v>
      </c>
    </row>
    <row r="8" spans="1:18" x14ac:dyDescent="0.25">
      <c r="A8" s="63">
        <v>3</v>
      </c>
      <c r="B8" s="92">
        <v>2021</v>
      </c>
      <c r="C8" s="64" t="s">
        <v>173</v>
      </c>
      <c r="D8" s="28" t="s">
        <v>168</v>
      </c>
      <c r="E8" s="130">
        <v>12</v>
      </c>
      <c r="F8" s="67">
        <v>1</v>
      </c>
      <c r="G8" s="69">
        <f>IF($D8="","",IF($F8="",VLOOKUP($D8,Tabelle!$A:$E,2,FALSE),VLOOKUP($D8,Tabelle!$A:$E,2,FALSE)*$F8))/12*$E8</f>
        <v>21392.87</v>
      </c>
      <c r="H8" s="69">
        <f>IF($D8="","",IF($F8="",VLOOKUP($D8,Tabelle!$A:$E,3,FALSE),VLOOKUP($D8,Tabelle!$A:$E,3,FALSE)*$F8))/12*$E8</f>
        <v>1782.74</v>
      </c>
      <c r="I8" s="69">
        <f>IF($D8="","",IF($F8="",VLOOKUP($D8,Tabelle!$A:$E,4,FALSE),VLOOKUP($D8,Tabelle!$A:$E,4,FALSE)*$F8))/12*$E8</f>
        <v>52.08</v>
      </c>
      <c r="J8" s="69">
        <f>IF($D8="","",IF($F8="",VLOOKUP($D8,Tabelle!$A:$E,5,FALSE),VLOOKUP($D8,Tabelle!$A:$E,5,FALSE)*$F8))/12*$E8</f>
        <v>115.87805</v>
      </c>
      <c r="K8" s="69">
        <f>IF($D8="","",IF($F8="",VLOOKUP($D8,Tabelle!$A:$F,6,FALSE),VLOOKUP($D8,Tabelle!$A:$F,6,FALSE)*$F8))/12*$E8</f>
        <v>0</v>
      </c>
      <c r="L8" s="70">
        <f t="shared" si="0"/>
        <v>23343.568050000002</v>
      </c>
      <c r="M8" s="71">
        <f t="shared" si="1"/>
        <v>23343.568050000002</v>
      </c>
      <c r="N8" s="71">
        <f t="shared" si="2"/>
        <v>23291.48805</v>
      </c>
      <c r="O8" s="71">
        <f t="shared" si="3"/>
        <v>5555.77</v>
      </c>
      <c r="P8" s="71">
        <f t="shared" si="4"/>
        <v>670.79485583999997</v>
      </c>
      <c r="Q8" s="72">
        <f t="shared" si="5"/>
        <v>5555.77</v>
      </c>
      <c r="R8" s="72">
        <f t="shared" si="5"/>
        <v>670.79485583999997</v>
      </c>
    </row>
    <row r="9" spans="1:18" x14ac:dyDescent="0.25">
      <c r="A9" s="63">
        <v>4</v>
      </c>
      <c r="B9" s="92">
        <v>2022</v>
      </c>
      <c r="C9" s="64" t="s">
        <v>161</v>
      </c>
      <c r="D9" s="28" t="s">
        <v>168</v>
      </c>
      <c r="E9" s="130">
        <v>12</v>
      </c>
      <c r="F9" s="67">
        <v>1</v>
      </c>
      <c r="G9" s="69">
        <f>IF($D9="","",IF($F9="",VLOOKUP($D9,Tabelle!$A:$E,2,FALSE),VLOOKUP($D9,Tabelle!$A:$E,2,FALSE)*$F9))/12*$E9</f>
        <v>21392.87</v>
      </c>
      <c r="H9" s="69">
        <f>IF($D9="","",IF($F9="",VLOOKUP($D9,Tabelle!$A:$E,3,FALSE),VLOOKUP($D9,Tabelle!$A:$E,3,FALSE)*$F9))/12*$E9</f>
        <v>1782.74</v>
      </c>
      <c r="I9" s="69">
        <f>IF($D9="","",IF($F9="",VLOOKUP($D9,Tabelle!$A:$E,4,FALSE),VLOOKUP($D9,Tabelle!$A:$E,4,FALSE)*$F9))/12*$E9</f>
        <v>52.08</v>
      </c>
      <c r="J9" s="69">
        <f>IF($D9="","",IF($F9="",VLOOKUP($D9,Tabelle!$A:$E,5,FALSE),VLOOKUP($D9,Tabelle!$A:$E,5,FALSE)*$F9))/12*$E9</f>
        <v>115.87805</v>
      </c>
      <c r="K9" s="69">
        <f>IF($D9="","",IF($F9="",VLOOKUP($D9,Tabelle!$A:$F,6,FALSE),VLOOKUP($D9,Tabelle!$A:$F,6,FALSE)*$F9))/12*$E9</f>
        <v>0</v>
      </c>
      <c r="L9" s="70">
        <f t="shared" si="0"/>
        <v>23343.568050000002</v>
      </c>
      <c r="M9" s="71">
        <f t="shared" si="1"/>
        <v>23343.568050000002</v>
      </c>
      <c r="N9" s="71">
        <f t="shared" si="2"/>
        <v>23291.48805</v>
      </c>
      <c r="O9" s="71">
        <f t="shared" si="3"/>
        <v>5555.77</v>
      </c>
      <c r="P9" s="71">
        <f t="shared" si="4"/>
        <v>670.79485583999997</v>
      </c>
      <c r="Q9" s="72">
        <f t="shared" si="5"/>
        <v>5555.77</v>
      </c>
      <c r="R9" s="72">
        <f t="shared" si="5"/>
        <v>670.79485583999997</v>
      </c>
    </row>
    <row r="10" spans="1:18" x14ac:dyDescent="0.25">
      <c r="A10" s="63">
        <v>5</v>
      </c>
      <c r="B10" s="92">
        <v>2022</v>
      </c>
      <c r="C10" s="64" t="s">
        <v>162</v>
      </c>
      <c r="D10" s="28" t="s">
        <v>168</v>
      </c>
      <c r="E10" s="130">
        <v>12</v>
      </c>
      <c r="F10" s="67">
        <v>1</v>
      </c>
      <c r="G10" s="69">
        <f>IF($D10="","",IF($F10="",VLOOKUP($D10,Tabelle!$A:$E,2,FALSE),VLOOKUP($D10,Tabelle!$A:$E,2,FALSE)*$F10))/12*$E10</f>
        <v>21392.87</v>
      </c>
      <c r="H10" s="69">
        <f>IF($D10="","",IF($F10="",VLOOKUP($D10,Tabelle!$A:$E,3,FALSE),VLOOKUP($D10,Tabelle!$A:$E,3,FALSE)*$F10))/12*$E10</f>
        <v>1782.74</v>
      </c>
      <c r="I10" s="69">
        <f>IF($D10="","",IF($F10="",VLOOKUP($D10,Tabelle!$A:$E,4,FALSE),VLOOKUP($D10,Tabelle!$A:$E,4,FALSE)*$F10))/12*$E10</f>
        <v>52.08</v>
      </c>
      <c r="J10" s="69">
        <f>IF($D10="","",IF($F10="",VLOOKUP($D10,Tabelle!$A:$E,5,FALSE),VLOOKUP($D10,Tabelle!$A:$E,5,FALSE)*$F10))/12*$E10</f>
        <v>115.87805</v>
      </c>
      <c r="K10" s="69">
        <f>IF($D10="","",IF($F10="",VLOOKUP($D10,Tabelle!$A:$F,6,FALSE),VLOOKUP($D10,Tabelle!$A:$F,6,FALSE)*$F10))/12*$E10</f>
        <v>0</v>
      </c>
      <c r="L10" s="70">
        <f t="shared" si="0"/>
        <v>23343.568050000002</v>
      </c>
      <c r="M10" s="71">
        <f t="shared" si="1"/>
        <v>23343.568050000002</v>
      </c>
      <c r="N10" s="71">
        <f t="shared" si="2"/>
        <v>23291.48805</v>
      </c>
      <c r="O10" s="71">
        <f t="shared" si="3"/>
        <v>5555.77</v>
      </c>
      <c r="P10" s="71">
        <f t="shared" si="4"/>
        <v>670.79485583999997</v>
      </c>
      <c r="Q10" s="72">
        <f t="shared" si="5"/>
        <v>5555.77</v>
      </c>
      <c r="R10" s="72">
        <f t="shared" si="5"/>
        <v>670.79485583999997</v>
      </c>
    </row>
    <row r="11" spans="1:18" x14ac:dyDescent="0.25">
      <c r="A11" s="63">
        <v>6</v>
      </c>
      <c r="B11" s="92">
        <v>2022</v>
      </c>
      <c r="C11" s="64" t="s">
        <v>164</v>
      </c>
      <c r="D11" s="28" t="s">
        <v>168</v>
      </c>
      <c r="E11" s="130">
        <v>12</v>
      </c>
      <c r="F11" s="67">
        <v>1</v>
      </c>
      <c r="G11" s="69">
        <f>IF($D11="","",IF($F11="",VLOOKUP($D11,Tabelle!$A:$E,2,FALSE),VLOOKUP($D11,Tabelle!$A:$E,2,FALSE)*$F11))/12*$E11</f>
        <v>21392.87</v>
      </c>
      <c r="H11" s="69">
        <f>IF($D11="","",IF($F11="",VLOOKUP($D11,Tabelle!$A:$E,3,FALSE),VLOOKUP($D11,Tabelle!$A:$E,3,FALSE)*$F11))/12*$E11</f>
        <v>1782.74</v>
      </c>
      <c r="I11" s="69">
        <f>IF($D11="","",IF($F11="",VLOOKUP($D11,Tabelle!$A:$E,4,FALSE),VLOOKUP($D11,Tabelle!$A:$E,4,FALSE)*$F11))/12*$E11</f>
        <v>52.08</v>
      </c>
      <c r="J11" s="69">
        <f>IF($D11="","",IF($F11="",VLOOKUP($D11,Tabelle!$A:$E,5,FALSE),VLOOKUP($D11,Tabelle!$A:$E,5,FALSE)*$F11))/12*$E11</f>
        <v>115.87805</v>
      </c>
      <c r="K11" s="69">
        <f>IF($D11="","",IF($F11="",VLOOKUP($D11,Tabelle!$A:$F,6,FALSE),VLOOKUP($D11,Tabelle!$A:$F,6,FALSE)*$F11))/12*$E11</f>
        <v>0</v>
      </c>
      <c r="L11" s="70">
        <f t="shared" si="0"/>
        <v>23343.568050000002</v>
      </c>
      <c r="M11" s="71">
        <f t="shared" si="1"/>
        <v>23343.568050000002</v>
      </c>
      <c r="N11" s="71">
        <f t="shared" si="2"/>
        <v>23291.48805</v>
      </c>
      <c r="O11" s="71">
        <f t="shared" si="3"/>
        <v>5555.77</v>
      </c>
      <c r="P11" s="71">
        <f t="shared" si="4"/>
        <v>670.79485583999997</v>
      </c>
      <c r="Q11" s="72">
        <f t="shared" si="5"/>
        <v>5555.77</v>
      </c>
      <c r="R11" s="72">
        <f t="shared" si="5"/>
        <v>670.79485583999997</v>
      </c>
    </row>
    <row r="12" spans="1:18" x14ac:dyDescent="0.25">
      <c r="A12" s="63">
        <v>7</v>
      </c>
      <c r="B12" s="92">
        <v>2022</v>
      </c>
      <c r="C12" s="64" t="s">
        <v>165</v>
      </c>
      <c r="D12" s="28" t="s">
        <v>169</v>
      </c>
      <c r="E12" s="130">
        <v>12</v>
      </c>
      <c r="F12" s="67">
        <v>1</v>
      </c>
      <c r="G12" s="69">
        <f>IF($D12="","",IF($F12="",VLOOKUP($D12,Tabelle!$A:$E,2,FALSE),VLOOKUP($D12,Tabelle!$A:$E,2,FALSE)*$F12))/12*$E12</f>
        <v>19034.509999999998</v>
      </c>
      <c r="H12" s="69">
        <f>IF($D12="","",IF($F12="",VLOOKUP($D12,Tabelle!$A:$E,3,FALSE),VLOOKUP($D12,Tabelle!$A:$E,3,FALSE)*$F12))/12*$E12</f>
        <v>1586.21</v>
      </c>
      <c r="I12" s="69">
        <f>IF($D12="","",IF($F12="",VLOOKUP($D12,Tabelle!$A:$E,4,FALSE),VLOOKUP($D12,Tabelle!$A:$E,4,FALSE)*$F12))/12*$E12</f>
        <v>44.76</v>
      </c>
      <c r="J12" s="69">
        <f>IF($D12="","",IF($F12="",VLOOKUP($D12,Tabelle!$A:$E,5,FALSE),VLOOKUP($D12,Tabelle!$A:$E,5,FALSE)*$F12))/12*$E12</f>
        <v>103.1036</v>
      </c>
      <c r="K12" s="69">
        <f>IF($D12="","",IF($F12="",VLOOKUP($D12,Tabelle!$A:$F,6,FALSE),VLOOKUP($D12,Tabelle!$A:$F,6,FALSE)*$F12))/12*$E12</f>
        <v>0</v>
      </c>
      <c r="L12" s="70">
        <f t="shared" si="0"/>
        <v>20768.583599999994</v>
      </c>
      <c r="M12" s="71">
        <f t="shared" si="1"/>
        <v>20768.583599999994</v>
      </c>
      <c r="N12" s="71">
        <f t="shared" si="2"/>
        <v>20723.823599999996</v>
      </c>
      <c r="O12" s="71">
        <f t="shared" si="3"/>
        <v>4942.92</v>
      </c>
      <c r="P12" s="71">
        <f t="shared" si="4"/>
        <v>596.8461196799999</v>
      </c>
      <c r="Q12" s="72">
        <f t="shared" si="5"/>
        <v>4942.92</v>
      </c>
      <c r="R12" s="72">
        <f t="shared" si="5"/>
        <v>596.8461196799999</v>
      </c>
    </row>
    <row r="13" spans="1:18" x14ac:dyDescent="0.25">
      <c r="A13" s="63">
        <v>8</v>
      </c>
      <c r="B13" s="92">
        <v>2023</v>
      </c>
      <c r="C13" s="64" t="s">
        <v>174</v>
      </c>
      <c r="D13" s="28" t="s">
        <v>168</v>
      </c>
      <c r="E13" s="130">
        <v>12</v>
      </c>
      <c r="F13" s="67">
        <v>1</v>
      </c>
      <c r="G13" s="69">
        <f>IF($D13="","",IF($F13="",VLOOKUP($D13,Tabelle!$A:$E,2,FALSE),VLOOKUP($D13,Tabelle!$A:$E,2,FALSE)*$F13))/12*$E13</f>
        <v>21392.87</v>
      </c>
      <c r="H13" s="69">
        <f>IF($D13="","",IF($F13="",VLOOKUP($D13,Tabelle!$A:$E,3,FALSE),VLOOKUP($D13,Tabelle!$A:$E,3,FALSE)*$F13))/12*$E13</f>
        <v>1782.74</v>
      </c>
      <c r="I13" s="69">
        <f>IF($D13="","",IF($F13="",VLOOKUP($D13,Tabelle!$A:$E,4,FALSE),VLOOKUP($D13,Tabelle!$A:$E,4,FALSE)*$F13))/12*$E13</f>
        <v>52.08</v>
      </c>
      <c r="J13" s="69">
        <f>IF($D13="","",IF($F13="",VLOOKUP($D13,Tabelle!$A:$E,5,FALSE),VLOOKUP($D13,Tabelle!$A:$E,5,FALSE)*$F13))/12*$E13</f>
        <v>115.87805</v>
      </c>
      <c r="K13" s="69">
        <f>IF($D13="","",IF($F13="",VLOOKUP($D13,Tabelle!$A:$F,6,FALSE),VLOOKUP($D13,Tabelle!$A:$F,6,FALSE)*$F13))/12*$E13</f>
        <v>0</v>
      </c>
      <c r="L13" s="70">
        <f t="shared" si="0"/>
        <v>23343.568050000002</v>
      </c>
      <c r="M13" s="71">
        <f t="shared" si="1"/>
        <v>23343.568050000002</v>
      </c>
      <c r="N13" s="71">
        <f t="shared" si="2"/>
        <v>23291.48805</v>
      </c>
      <c r="O13" s="71">
        <f t="shared" si="3"/>
        <v>5555.77</v>
      </c>
      <c r="P13" s="71">
        <f t="shared" si="4"/>
        <v>670.79485583999997</v>
      </c>
      <c r="Q13" s="72">
        <f t="shared" si="5"/>
        <v>5555.77</v>
      </c>
      <c r="R13" s="72">
        <f t="shared" si="5"/>
        <v>670.79485583999997</v>
      </c>
    </row>
    <row r="14" spans="1:18" x14ac:dyDescent="0.25">
      <c r="A14" s="63">
        <v>9</v>
      </c>
      <c r="B14" s="92">
        <v>2023</v>
      </c>
      <c r="C14" s="64" t="s">
        <v>175</v>
      </c>
      <c r="D14" s="28" t="s">
        <v>168</v>
      </c>
      <c r="E14" s="130">
        <v>12</v>
      </c>
      <c r="F14" s="67">
        <v>1</v>
      </c>
      <c r="G14" s="69">
        <f>IF($D14="","",IF($F14="",VLOOKUP($D14,Tabelle!$A:$E,2,FALSE),VLOOKUP($D14,Tabelle!$A:$E,2,FALSE)*$F14))/12*$E14</f>
        <v>21392.87</v>
      </c>
      <c r="H14" s="69">
        <f>IF($D14="","",IF($F14="",VLOOKUP($D14,Tabelle!$A:$E,3,FALSE),VLOOKUP($D14,Tabelle!$A:$E,3,FALSE)*$F14))/12*$E14</f>
        <v>1782.74</v>
      </c>
      <c r="I14" s="69">
        <f>IF($D14="","",IF($F14="",VLOOKUP($D14,Tabelle!$A:$E,4,FALSE),VLOOKUP($D14,Tabelle!$A:$E,4,FALSE)*$F14))/12*$E14</f>
        <v>52.08</v>
      </c>
      <c r="J14" s="69">
        <f>IF($D14="","",IF($F14="",VLOOKUP($D14,Tabelle!$A:$E,5,FALSE),VLOOKUP($D14,Tabelle!$A:$E,5,FALSE)*$F14))/12*$E14</f>
        <v>115.87805</v>
      </c>
      <c r="K14" s="69">
        <f>IF($D14="","",IF($F14="",VLOOKUP($D14,Tabelle!$A:$F,6,FALSE),VLOOKUP($D14,Tabelle!$A:$F,6,FALSE)*$F14))/12*$E14</f>
        <v>0</v>
      </c>
      <c r="L14" s="70">
        <f t="shared" si="0"/>
        <v>23343.568050000002</v>
      </c>
      <c r="M14" s="71">
        <f t="shared" si="1"/>
        <v>23343.568050000002</v>
      </c>
      <c r="N14" s="71">
        <f t="shared" si="2"/>
        <v>23291.48805</v>
      </c>
      <c r="O14" s="71">
        <f t="shared" si="3"/>
        <v>5555.77</v>
      </c>
      <c r="P14" s="71">
        <f t="shared" si="4"/>
        <v>670.79485583999997</v>
      </c>
      <c r="Q14" s="72">
        <f t="shared" si="5"/>
        <v>5555.77</v>
      </c>
      <c r="R14" s="72">
        <f t="shared" si="5"/>
        <v>670.79485583999997</v>
      </c>
    </row>
    <row r="15" spans="1:18" x14ac:dyDescent="0.25">
      <c r="A15" s="63">
        <v>10</v>
      </c>
      <c r="B15" s="92">
        <v>2024</v>
      </c>
      <c r="C15" s="64" t="s">
        <v>176</v>
      </c>
      <c r="D15" s="28" t="s">
        <v>168</v>
      </c>
      <c r="E15" s="130">
        <v>12</v>
      </c>
      <c r="F15" s="67">
        <v>1</v>
      </c>
      <c r="G15" s="69">
        <f>IF($D15="","",IF($F15="",VLOOKUP($D15,Tabelle!$A:$E,2,FALSE),VLOOKUP($D15,Tabelle!$A:$E,2,FALSE)*$F15))/12*$E15</f>
        <v>21392.87</v>
      </c>
      <c r="H15" s="69">
        <f>IF($D15="","",IF($F15="",VLOOKUP($D15,Tabelle!$A:$E,3,FALSE),VLOOKUP($D15,Tabelle!$A:$E,3,FALSE)*$F15))/12*$E15</f>
        <v>1782.74</v>
      </c>
      <c r="I15" s="69">
        <f>IF($D15="","",IF($F15="",VLOOKUP($D15,Tabelle!$A:$E,4,FALSE),VLOOKUP($D15,Tabelle!$A:$E,4,FALSE)*$F15))/12*$E15</f>
        <v>52.08</v>
      </c>
      <c r="J15" s="69">
        <f>IF($D15="","",IF($F15="",VLOOKUP($D15,Tabelle!$A:$E,5,FALSE),VLOOKUP($D15,Tabelle!$A:$E,5,FALSE)*$F15))/12*$E15</f>
        <v>115.87805</v>
      </c>
      <c r="K15" s="69">
        <f>IF($D15="","",IF($F15="",VLOOKUP($D15,Tabelle!$A:$F,6,FALSE),VLOOKUP($D15,Tabelle!$A:$F,6,FALSE)*$F15))/12*$E15</f>
        <v>0</v>
      </c>
      <c r="L15" s="70">
        <f t="shared" si="0"/>
        <v>23343.568050000002</v>
      </c>
      <c r="M15" s="71">
        <f t="shared" si="1"/>
        <v>23343.568050000002</v>
      </c>
      <c r="N15" s="71">
        <f t="shared" si="2"/>
        <v>23291.48805</v>
      </c>
      <c r="O15" s="71">
        <f t="shared" si="3"/>
        <v>5555.77</v>
      </c>
      <c r="P15" s="71">
        <f t="shared" si="4"/>
        <v>670.79485583999997</v>
      </c>
      <c r="Q15" s="72">
        <f t="shared" si="5"/>
        <v>5555.77</v>
      </c>
      <c r="R15" s="72">
        <f t="shared" si="5"/>
        <v>670.79485583999997</v>
      </c>
    </row>
    <row r="16" spans="1:18" x14ac:dyDescent="0.25">
      <c r="A16" s="63">
        <v>11</v>
      </c>
      <c r="B16" s="92">
        <v>2024</v>
      </c>
      <c r="C16" s="64" t="s">
        <v>181</v>
      </c>
      <c r="D16" s="28" t="s">
        <v>167</v>
      </c>
      <c r="E16" s="130">
        <v>12</v>
      </c>
      <c r="F16" s="67">
        <v>1</v>
      </c>
      <c r="G16" s="69">
        <f>IF($D16="","",IF($F16="",VLOOKUP($D16,Tabelle!$A:$E,2,FALSE),VLOOKUP($D16,Tabelle!$A:$E,2,FALSE)*$F16))/12*$E16</f>
        <v>23212.35</v>
      </c>
      <c r="H16" s="69">
        <f>IF($D16="","",IF($F16="",VLOOKUP($D16,Tabelle!$A:$E,3,FALSE),VLOOKUP($D16,Tabelle!$A:$E,3,FALSE)*$F16))/12*$E16</f>
        <v>1934.36</v>
      </c>
      <c r="I16" s="69">
        <f>IF($D16="","",IF($F16="",VLOOKUP($D16,Tabelle!$A:$E,4,FALSE),VLOOKUP($D16,Tabelle!$A:$E,4,FALSE)*$F16))/12*$E16</f>
        <v>59.400000000000006</v>
      </c>
      <c r="J16" s="69">
        <f>IF($D16="","",IF($F16="",VLOOKUP($D16,Tabelle!$A:$E,5,FALSE),VLOOKUP($D16,Tabelle!$A:$E,5,FALSE)*$F16))/12*$E16</f>
        <v>125.73355000000001</v>
      </c>
      <c r="K16" s="69">
        <f>IF($D16="","",IF($F16="",VLOOKUP($D16,Tabelle!$A:$F,6,FALSE),VLOOKUP($D16,Tabelle!$A:$F,6,FALSE)*$F16))/12*$E16</f>
        <v>0</v>
      </c>
      <c r="L16" s="70">
        <f t="shared" si="0"/>
        <v>25331.843550000001</v>
      </c>
      <c r="M16" s="71">
        <f t="shared" si="1"/>
        <v>25331.843550000001</v>
      </c>
      <c r="N16" s="71">
        <f t="shared" si="2"/>
        <v>25272.44355</v>
      </c>
      <c r="O16" s="71">
        <f t="shared" si="3"/>
        <v>6028.98</v>
      </c>
      <c r="P16" s="71">
        <f t="shared" si="4"/>
        <v>727.84637423999993</v>
      </c>
      <c r="Q16" s="72">
        <f t="shared" si="5"/>
        <v>6028.98</v>
      </c>
      <c r="R16" s="72">
        <f t="shared" si="5"/>
        <v>727.84637423999993</v>
      </c>
    </row>
    <row r="17" spans="1:18" x14ac:dyDescent="0.25">
      <c r="A17" s="63">
        <v>12</v>
      </c>
      <c r="B17" s="92"/>
      <c r="C17" s="64"/>
      <c r="D17" s="65" t="s">
        <v>168</v>
      </c>
      <c r="E17" s="66"/>
      <c r="F17" s="67">
        <v>1</v>
      </c>
      <c r="G17" s="69">
        <f>IF($D17="","",IF($F17="",VLOOKUP($D17,Tabelle!$A:$E,2,FALSE),VLOOKUP($D17,Tabelle!$A:$E,2,FALSE)*$F17))/12*$E17</f>
        <v>0</v>
      </c>
      <c r="H17" s="69">
        <f>IF($D17="","",IF($F17="",VLOOKUP($D17,Tabelle!$A:$E,3,FALSE),VLOOKUP($D17,Tabelle!$A:$E,3,FALSE)*$F17))/12*$E17</f>
        <v>0</v>
      </c>
      <c r="I17" s="69">
        <f>IF($D17="","",IF($F17="",VLOOKUP($D17,Tabelle!$A:$E,4,FALSE),VLOOKUP($D17,Tabelle!$A:$E,4,FALSE)*$F17))/12*$E17</f>
        <v>0</v>
      </c>
      <c r="J17" s="69">
        <f>IF($D17="","",IF($F17="",VLOOKUP($D17,Tabelle!$A:$E,5,FALSE),VLOOKUP($D17,Tabelle!$A:$E,5,FALSE)*$F17))/12*$E17</f>
        <v>0</v>
      </c>
      <c r="K17" s="69">
        <f>IF($D17="","",IF($F17="",VLOOKUP($D17,Tabelle!$A:$F,6,FALSE),VLOOKUP($D17,Tabelle!$A:$F,6,FALSE)*$F17))/12*$E17</f>
        <v>0</v>
      </c>
      <c r="L17" s="70">
        <f t="shared" si="0"/>
        <v>0</v>
      </c>
      <c r="M17" s="71">
        <f t="shared" si="1"/>
        <v>0</v>
      </c>
      <c r="N17" s="71" t="str">
        <f t="shared" si="2"/>
        <v/>
      </c>
      <c r="O17" s="71">
        <f t="shared" si="3"/>
        <v>0</v>
      </c>
      <c r="P17" s="71" t="str">
        <f t="shared" si="4"/>
        <v/>
      </c>
      <c r="Q17" s="72" t="str">
        <f t="shared" si="5"/>
        <v/>
      </c>
      <c r="R17" s="72" t="str">
        <f t="shared" si="5"/>
        <v/>
      </c>
    </row>
    <row r="18" spans="1:18" x14ac:dyDescent="0.25">
      <c r="A18" s="63">
        <v>13</v>
      </c>
      <c r="B18" s="92"/>
      <c r="C18" s="64"/>
      <c r="D18" s="65" t="s">
        <v>168</v>
      </c>
      <c r="E18" s="66"/>
      <c r="F18" s="67">
        <v>1</v>
      </c>
      <c r="G18" s="69">
        <f>IF($D18="","",IF($F18="",VLOOKUP($D18,Tabelle!$A:$E,2,FALSE),VLOOKUP($D18,Tabelle!$A:$E,2,FALSE)*$F18))/12*$E18</f>
        <v>0</v>
      </c>
      <c r="H18" s="69">
        <f>IF($D18="","",IF($F18="",VLOOKUP($D18,Tabelle!$A:$E,3,FALSE),VLOOKUP($D18,Tabelle!$A:$E,3,FALSE)*$F18))/12*$E18</f>
        <v>0</v>
      </c>
      <c r="I18" s="69">
        <f>IF($D18="","",IF($F18="",VLOOKUP($D18,Tabelle!$A:$E,4,FALSE),VLOOKUP($D18,Tabelle!$A:$E,4,FALSE)*$F18))/12*$E18</f>
        <v>0</v>
      </c>
      <c r="J18" s="69">
        <f>IF($D18="","",IF($F18="",VLOOKUP($D18,Tabelle!$A:$E,5,FALSE),VLOOKUP($D18,Tabelle!$A:$E,5,FALSE)*$F18))/12*$E18</f>
        <v>0</v>
      </c>
      <c r="K18" s="69">
        <f>IF($D18="","",IF($F18="",VLOOKUP($D18,Tabelle!$A:$F,6,FALSE),VLOOKUP($D18,Tabelle!$A:$F,6,FALSE)*$F18))/12*$E18</f>
        <v>0</v>
      </c>
      <c r="L18" s="70">
        <f t="shared" si="0"/>
        <v>0</v>
      </c>
      <c r="M18" s="71">
        <f t="shared" si="1"/>
        <v>0</v>
      </c>
      <c r="N18" s="71" t="str">
        <f t="shared" si="2"/>
        <v/>
      </c>
      <c r="O18" s="71">
        <f t="shared" si="3"/>
        <v>0</v>
      </c>
      <c r="P18" s="71" t="str">
        <f t="shared" si="4"/>
        <v/>
      </c>
      <c r="Q18" s="72" t="str">
        <f t="shared" si="5"/>
        <v/>
      </c>
      <c r="R18" s="72" t="str">
        <f t="shared" si="5"/>
        <v/>
      </c>
    </row>
    <row r="19" spans="1:18" x14ac:dyDescent="0.25">
      <c r="A19" s="63">
        <v>14</v>
      </c>
      <c r="B19" s="92"/>
      <c r="C19" s="64"/>
      <c r="D19" s="65" t="s">
        <v>168</v>
      </c>
      <c r="E19" s="66"/>
      <c r="F19" s="67">
        <v>1</v>
      </c>
      <c r="G19" s="69">
        <f>IF($D19="","",IF($F19="",VLOOKUP($D19,Tabelle!$A:$E,2,FALSE),VLOOKUP($D19,Tabelle!$A:$E,2,FALSE)*$F19))/12*$E19</f>
        <v>0</v>
      </c>
      <c r="H19" s="69">
        <f>IF($D19="","",IF($F19="",VLOOKUP($D19,Tabelle!$A:$E,3,FALSE),VLOOKUP($D19,Tabelle!$A:$E,3,FALSE)*$F19))/12*$E19</f>
        <v>0</v>
      </c>
      <c r="I19" s="69">
        <f>IF($D19="","",IF($F19="",VLOOKUP($D19,Tabelle!$A:$E,4,FALSE),VLOOKUP($D19,Tabelle!$A:$E,4,FALSE)*$F19))/12*$E19</f>
        <v>0</v>
      </c>
      <c r="J19" s="69">
        <f>IF($D19="","",IF($F19="",VLOOKUP($D19,Tabelle!$A:$E,5,FALSE),VLOOKUP($D19,Tabelle!$A:$E,5,FALSE)*$F19))/12*$E19</f>
        <v>0</v>
      </c>
      <c r="K19" s="69">
        <f>IF($D19="","",IF($F19="",VLOOKUP($D19,Tabelle!$A:$F,6,FALSE),VLOOKUP($D19,Tabelle!$A:$F,6,FALSE)*$F19))/12*$E19</f>
        <v>0</v>
      </c>
      <c r="L19" s="70">
        <f t="shared" si="0"/>
        <v>0</v>
      </c>
      <c r="M19" s="71">
        <f t="shared" si="1"/>
        <v>0</v>
      </c>
      <c r="N19" s="71" t="str">
        <f t="shared" si="2"/>
        <v/>
      </c>
      <c r="O19" s="71">
        <f t="shared" si="3"/>
        <v>0</v>
      </c>
      <c r="P19" s="71" t="str">
        <f t="shared" si="4"/>
        <v/>
      </c>
      <c r="Q19" s="72" t="str">
        <f t="shared" si="5"/>
        <v/>
      </c>
      <c r="R19" s="72" t="str">
        <f t="shared" si="5"/>
        <v/>
      </c>
    </row>
    <row r="20" spans="1:18" x14ac:dyDescent="0.25">
      <c r="A20" s="63">
        <v>15</v>
      </c>
      <c r="B20" s="92"/>
      <c r="C20" s="64"/>
      <c r="D20" s="65" t="s">
        <v>168</v>
      </c>
      <c r="E20" s="66"/>
      <c r="F20" s="67">
        <v>1</v>
      </c>
      <c r="G20" s="69">
        <f>IF($D20="","",IF($F20="",VLOOKUP($D20,Tabelle!$A:$E,2,FALSE),VLOOKUP($D20,Tabelle!$A:$E,2,FALSE)*$F20))/12*$E20</f>
        <v>0</v>
      </c>
      <c r="H20" s="69">
        <f>IF($D20="","",IF($F20="",VLOOKUP($D20,Tabelle!$A:$E,3,FALSE),VLOOKUP($D20,Tabelle!$A:$E,3,FALSE)*$F20))/12*$E20</f>
        <v>0</v>
      </c>
      <c r="I20" s="69">
        <f>IF($D20="","",IF($F20="",VLOOKUP($D20,Tabelle!$A:$E,4,FALSE),VLOOKUP($D20,Tabelle!$A:$E,4,FALSE)*$F20))/12*$E20</f>
        <v>0</v>
      </c>
      <c r="J20" s="69">
        <f>IF($D20="","",IF($F20="",VLOOKUP($D20,Tabelle!$A:$E,5,FALSE),VLOOKUP($D20,Tabelle!$A:$E,5,FALSE)*$F20))/12*$E20</f>
        <v>0</v>
      </c>
      <c r="K20" s="69">
        <f>IF($D20="","",IF($F20="",VLOOKUP($D20,Tabelle!$A:$F,6,FALSE),VLOOKUP($D20,Tabelle!$A:$F,6,FALSE)*$F20))/12*$E20</f>
        <v>0</v>
      </c>
      <c r="L20" s="70">
        <f t="shared" si="0"/>
        <v>0</v>
      </c>
      <c r="M20" s="71">
        <f t="shared" si="1"/>
        <v>0</v>
      </c>
      <c r="N20" s="71" t="str">
        <f t="shared" si="2"/>
        <v/>
      </c>
      <c r="O20" s="71">
        <f t="shared" si="3"/>
        <v>0</v>
      </c>
      <c r="P20" s="71" t="str">
        <f t="shared" si="4"/>
        <v/>
      </c>
      <c r="Q20" s="72" t="str">
        <f t="shared" si="5"/>
        <v/>
      </c>
      <c r="R20" s="72" t="str">
        <f t="shared" si="5"/>
        <v/>
      </c>
    </row>
    <row r="21" spans="1:18" x14ac:dyDescent="0.25">
      <c r="A21" s="63">
        <v>16</v>
      </c>
      <c r="B21" s="92"/>
      <c r="C21" s="64"/>
      <c r="D21" s="65" t="s">
        <v>168</v>
      </c>
      <c r="E21" s="66"/>
      <c r="F21" s="67">
        <v>1</v>
      </c>
      <c r="G21" s="69">
        <f>IF($D21="","",IF($F21="",VLOOKUP($D21,Tabelle!$A:$E,2,FALSE),VLOOKUP($D21,Tabelle!$A:$E,2,FALSE)*$F21))/12*$E21</f>
        <v>0</v>
      </c>
      <c r="H21" s="69">
        <f>IF($D21="","",IF($F21="",VLOOKUP($D21,Tabelle!$A:$E,3,FALSE),VLOOKUP($D21,Tabelle!$A:$E,3,FALSE)*$F21))/12*$E21</f>
        <v>0</v>
      </c>
      <c r="I21" s="69">
        <f>IF($D21="","",IF($F21="",VLOOKUP($D21,Tabelle!$A:$E,4,FALSE),VLOOKUP($D21,Tabelle!$A:$E,4,FALSE)*$F21))/12*$E21</f>
        <v>0</v>
      </c>
      <c r="J21" s="69">
        <f>IF($D21="","",IF($F21="",VLOOKUP($D21,Tabelle!$A:$E,5,FALSE),VLOOKUP($D21,Tabelle!$A:$E,5,FALSE)*$F21))/12*$E21</f>
        <v>0</v>
      </c>
      <c r="K21" s="69">
        <f>IF($D21="","",IF($F21="",VLOOKUP($D21,Tabelle!$A:$F,6,FALSE),VLOOKUP($D21,Tabelle!$A:$F,6,FALSE)*$F21))/12*$E21</f>
        <v>0</v>
      </c>
      <c r="L21" s="70">
        <f t="shared" si="0"/>
        <v>0</v>
      </c>
      <c r="M21" s="71">
        <f t="shared" si="1"/>
        <v>0</v>
      </c>
      <c r="N21" s="71" t="str">
        <f t="shared" si="2"/>
        <v/>
      </c>
      <c r="O21" s="71">
        <f t="shared" si="3"/>
        <v>0</v>
      </c>
      <c r="P21" s="71" t="str">
        <f t="shared" si="4"/>
        <v/>
      </c>
      <c r="Q21" s="72" t="str">
        <f t="shared" si="5"/>
        <v/>
      </c>
      <c r="R21" s="72" t="str">
        <f t="shared" si="5"/>
        <v/>
      </c>
    </row>
    <row r="22" spans="1:18" x14ac:dyDescent="0.25">
      <c r="L22" s="84">
        <f>SUM(L6:L21)</f>
        <v>256192.53959999999</v>
      </c>
      <c r="M22" s="82"/>
      <c r="O22" s="82"/>
      <c r="Q22" s="85">
        <f>SUM(Q6:Q21)</f>
        <v>60973.83</v>
      </c>
      <c r="R22" s="85">
        <f>SUM(R6:R21)</f>
        <v>7361.8461964800008</v>
      </c>
    </row>
    <row r="23" spans="1:18" ht="18.75" x14ac:dyDescent="0.3">
      <c r="B23" s="86" t="s">
        <v>64</v>
      </c>
      <c r="C23" s="87">
        <f>L22+Q22+R22</f>
        <v>324528.21579647996</v>
      </c>
    </row>
  </sheetData>
  <pageMargins left="0.7" right="0.7" top="0.75" bottom="0.75" header="0.3" footer="0.3"/>
  <pageSetup paperSize="9" scale="64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05671-5E02-4142-A240-3AC246510B27}">
  <dimension ref="A1:F44"/>
  <sheetViews>
    <sheetView workbookViewId="0">
      <selection activeCell="F13" sqref="F13"/>
    </sheetView>
  </sheetViews>
  <sheetFormatPr defaultRowHeight="12.75" x14ac:dyDescent="0.2"/>
  <cols>
    <col min="1" max="1" width="17.42578125" style="76" customWidth="1"/>
    <col min="2" max="5" width="14.42578125" style="76" customWidth="1"/>
    <col min="6" max="6" width="14" style="76" customWidth="1"/>
    <col min="7" max="247" width="9.140625" style="76"/>
    <col min="248" max="248" width="17.42578125" style="76" customWidth="1"/>
    <col min="249" max="252" width="14.42578125" style="76" customWidth="1"/>
    <col min="253" max="253" width="14" style="76" customWidth="1"/>
    <col min="254" max="503" width="9.140625" style="76"/>
    <col min="504" max="504" width="17.42578125" style="76" customWidth="1"/>
    <col min="505" max="508" width="14.42578125" style="76" customWidth="1"/>
    <col min="509" max="509" width="14" style="76" customWidth="1"/>
    <col min="510" max="759" width="9.140625" style="76"/>
    <col min="760" max="760" width="17.42578125" style="76" customWidth="1"/>
    <col min="761" max="764" width="14.42578125" style="76" customWidth="1"/>
    <col min="765" max="765" width="14" style="76" customWidth="1"/>
    <col min="766" max="1015" width="9.140625" style="76"/>
    <col min="1016" max="1016" width="17.42578125" style="76" customWidth="1"/>
    <col min="1017" max="1020" width="14.42578125" style="76" customWidth="1"/>
    <col min="1021" max="1021" width="14" style="76" customWidth="1"/>
    <col min="1022" max="1271" width="9.140625" style="76"/>
    <col min="1272" max="1272" width="17.42578125" style="76" customWidth="1"/>
    <col min="1273" max="1276" width="14.42578125" style="76" customWidth="1"/>
    <col min="1277" max="1277" width="14" style="76" customWidth="1"/>
    <col min="1278" max="1527" width="9.140625" style="76"/>
    <col min="1528" max="1528" width="17.42578125" style="76" customWidth="1"/>
    <col min="1529" max="1532" width="14.42578125" style="76" customWidth="1"/>
    <col min="1533" max="1533" width="14" style="76" customWidth="1"/>
    <col min="1534" max="1783" width="9.140625" style="76"/>
    <col min="1784" max="1784" width="17.42578125" style="76" customWidth="1"/>
    <col min="1785" max="1788" width="14.42578125" style="76" customWidth="1"/>
    <col min="1789" max="1789" width="14" style="76" customWidth="1"/>
    <col min="1790" max="2039" width="9.140625" style="76"/>
    <col min="2040" max="2040" width="17.42578125" style="76" customWidth="1"/>
    <col min="2041" max="2044" width="14.42578125" style="76" customWidth="1"/>
    <col min="2045" max="2045" width="14" style="76" customWidth="1"/>
    <col min="2046" max="2295" width="9.140625" style="76"/>
    <col min="2296" max="2296" width="17.42578125" style="76" customWidth="1"/>
    <col min="2297" max="2300" width="14.42578125" style="76" customWidth="1"/>
    <col min="2301" max="2301" width="14" style="76" customWidth="1"/>
    <col min="2302" max="2551" width="9.140625" style="76"/>
    <col min="2552" max="2552" width="17.42578125" style="76" customWidth="1"/>
    <col min="2553" max="2556" width="14.42578125" style="76" customWidth="1"/>
    <col min="2557" max="2557" width="14" style="76" customWidth="1"/>
    <col min="2558" max="2807" width="9.140625" style="76"/>
    <col min="2808" max="2808" width="17.42578125" style="76" customWidth="1"/>
    <col min="2809" max="2812" width="14.42578125" style="76" customWidth="1"/>
    <col min="2813" max="2813" width="14" style="76" customWidth="1"/>
    <col min="2814" max="3063" width="9.140625" style="76"/>
    <col min="3064" max="3064" width="17.42578125" style="76" customWidth="1"/>
    <col min="3065" max="3068" width="14.42578125" style="76" customWidth="1"/>
    <col min="3069" max="3069" width="14" style="76" customWidth="1"/>
    <col min="3070" max="3319" width="9.140625" style="76"/>
    <col min="3320" max="3320" width="17.42578125" style="76" customWidth="1"/>
    <col min="3321" max="3324" width="14.42578125" style="76" customWidth="1"/>
    <col min="3325" max="3325" width="14" style="76" customWidth="1"/>
    <col min="3326" max="3575" width="9.140625" style="76"/>
    <col min="3576" max="3576" width="17.42578125" style="76" customWidth="1"/>
    <col min="3577" max="3580" width="14.42578125" style="76" customWidth="1"/>
    <col min="3581" max="3581" width="14" style="76" customWidth="1"/>
    <col min="3582" max="3831" width="9.140625" style="76"/>
    <col min="3832" max="3832" width="17.42578125" style="76" customWidth="1"/>
    <col min="3833" max="3836" width="14.42578125" style="76" customWidth="1"/>
    <col min="3837" max="3837" width="14" style="76" customWidth="1"/>
    <col min="3838" max="4087" width="9.140625" style="76"/>
    <col min="4088" max="4088" width="17.42578125" style="76" customWidth="1"/>
    <col min="4089" max="4092" width="14.42578125" style="76" customWidth="1"/>
    <col min="4093" max="4093" width="14" style="76" customWidth="1"/>
    <col min="4094" max="4343" width="9.140625" style="76"/>
    <col min="4344" max="4344" width="17.42578125" style="76" customWidth="1"/>
    <col min="4345" max="4348" width="14.42578125" style="76" customWidth="1"/>
    <col min="4349" max="4349" width="14" style="76" customWidth="1"/>
    <col min="4350" max="4599" width="9.140625" style="76"/>
    <col min="4600" max="4600" width="17.42578125" style="76" customWidth="1"/>
    <col min="4601" max="4604" width="14.42578125" style="76" customWidth="1"/>
    <col min="4605" max="4605" width="14" style="76" customWidth="1"/>
    <col min="4606" max="4855" width="9.140625" style="76"/>
    <col min="4856" max="4856" width="17.42578125" style="76" customWidth="1"/>
    <col min="4857" max="4860" width="14.42578125" style="76" customWidth="1"/>
    <col min="4861" max="4861" width="14" style="76" customWidth="1"/>
    <col min="4862" max="5111" width="9.140625" style="76"/>
    <col min="5112" max="5112" width="17.42578125" style="76" customWidth="1"/>
    <col min="5113" max="5116" width="14.42578125" style="76" customWidth="1"/>
    <col min="5117" max="5117" width="14" style="76" customWidth="1"/>
    <col min="5118" max="5367" width="9.140625" style="76"/>
    <col min="5368" max="5368" width="17.42578125" style="76" customWidth="1"/>
    <col min="5369" max="5372" width="14.42578125" style="76" customWidth="1"/>
    <col min="5373" max="5373" width="14" style="76" customWidth="1"/>
    <col min="5374" max="5623" width="9.140625" style="76"/>
    <col min="5624" max="5624" width="17.42578125" style="76" customWidth="1"/>
    <col min="5625" max="5628" width="14.42578125" style="76" customWidth="1"/>
    <col min="5629" max="5629" width="14" style="76" customWidth="1"/>
    <col min="5630" max="5879" width="9.140625" style="76"/>
    <col min="5880" max="5880" width="17.42578125" style="76" customWidth="1"/>
    <col min="5881" max="5884" width="14.42578125" style="76" customWidth="1"/>
    <col min="5885" max="5885" width="14" style="76" customWidth="1"/>
    <col min="5886" max="6135" width="9.140625" style="76"/>
    <col min="6136" max="6136" width="17.42578125" style="76" customWidth="1"/>
    <col min="6137" max="6140" width="14.42578125" style="76" customWidth="1"/>
    <col min="6141" max="6141" width="14" style="76" customWidth="1"/>
    <col min="6142" max="6391" width="9.140625" style="76"/>
    <col min="6392" max="6392" width="17.42578125" style="76" customWidth="1"/>
    <col min="6393" max="6396" width="14.42578125" style="76" customWidth="1"/>
    <col min="6397" max="6397" width="14" style="76" customWidth="1"/>
    <col min="6398" max="6647" width="9.140625" style="76"/>
    <col min="6648" max="6648" width="17.42578125" style="76" customWidth="1"/>
    <col min="6649" max="6652" width="14.42578125" style="76" customWidth="1"/>
    <col min="6653" max="6653" width="14" style="76" customWidth="1"/>
    <col min="6654" max="6903" width="9.140625" style="76"/>
    <col min="6904" max="6904" width="17.42578125" style="76" customWidth="1"/>
    <col min="6905" max="6908" width="14.42578125" style="76" customWidth="1"/>
    <col min="6909" max="6909" width="14" style="76" customWidth="1"/>
    <col min="6910" max="7159" width="9.140625" style="76"/>
    <col min="7160" max="7160" width="17.42578125" style="76" customWidth="1"/>
    <col min="7161" max="7164" width="14.42578125" style="76" customWidth="1"/>
    <col min="7165" max="7165" width="14" style="76" customWidth="1"/>
    <col min="7166" max="7415" width="9.140625" style="76"/>
    <col min="7416" max="7416" width="17.42578125" style="76" customWidth="1"/>
    <col min="7417" max="7420" width="14.42578125" style="76" customWidth="1"/>
    <col min="7421" max="7421" width="14" style="76" customWidth="1"/>
    <col min="7422" max="7671" width="9.140625" style="76"/>
    <col min="7672" max="7672" width="17.42578125" style="76" customWidth="1"/>
    <col min="7673" max="7676" width="14.42578125" style="76" customWidth="1"/>
    <col min="7677" max="7677" width="14" style="76" customWidth="1"/>
    <col min="7678" max="7927" width="9.140625" style="76"/>
    <col min="7928" max="7928" width="17.42578125" style="76" customWidth="1"/>
    <col min="7929" max="7932" width="14.42578125" style="76" customWidth="1"/>
    <col min="7933" max="7933" width="14" style="76" customWidth="1"/>
    <col min="7934" max="8183" width="9.140625" style="76"/>
    <col min="8184" max="8184" width="17.42578125" style="76" customWidth="1"/>
    <col min="8185" max="8188" width="14.42578125" style="76" customWidth="1"/>
    <col min="8189" max="8189" width="14" style="76" customWidth="1"/>
    <col min="8190" max="8439" width="9.140625" style="76"/>
    <col min="8440" max="8440" width="17.42578125" style="76" customWidth="1"/>
    <col min="8441" max="8444" width="14.42578125" style="76" customWidth="1"/>
    <col min="8445" max="8445" width="14" style="76" customWidth="1"/>
    <col min="8446" max="8695" width="9.140625" style="76"/>
    <col min="8696" max="8696" width="17.42578125" style="76" customWidth="1"/>
    <col min="8697" max="8700" width="14.42578125" style="76" customWidth="1"/>
    <col min="8701" max="8701" width="14" style="76" customWidth="1"/>
    <col min="8702" max="8951" width="9.140625" style="76"/>
    <col min="8952" max="8952" width="17.42578125" style="76" customWidth="1"/>
    <col min="8953" max="8956" width="14.42578125" style="76" customWidth="1"/>
    <col min="8957" max="8957" width="14" style="76" customWidth="1"/>
    <col min="8958" max="9207" width="9.140625" style="76"/>
    <col min="9208" max="9208" width="17.42578125" style="76" customWidth="1"/>
    <col min="9209" max="9212" width="14.42578125" style="76" customWidth="1"/>
    <col min="9213" max="9213" width="14" style="76" customWidth="1"/>
    <col min="9214" max="9463" width="9.140625" style="76"/>
    <col min="9464" max="9464" width="17.42578125" style="76" customWidth="1"/>
    <col min="9465" max="9468" width="14.42578125" style="76" customWidth="1"/>
    <col min="9469" max="9469" width="14" style="76" customWidth="1"/>
    <col min="9470" max="9719" width="9.140625" style="76"/>
    <col min="9720" max="9720" width="17.42578125" style="76" customWidth="1"/>
    <col min="9721" max="9724" width="14.42578125" style="76" customWidth="1"/>
    <col min="9725" max="9725" width="14" style="76" customWidth="1"/>
    <col min="9726" max="9975" width="9.140625" style="76"/>
    <col min="9976" max="9976" width="17.42578125" style="76" customWidth="1"/>
    <col min="9977" max="9980" width="14.42578125" style="76" customWidth="1"/>
    <col min="9981" max="9981" width="14" style="76" customWidth="1"/>
    <col min="9982" max="10231" width="9.140625" style="76"/>
    <col min="10232" max="10232" width="17.42578125" style="76" customWidth="1"/>
    <col min="10233" max="10236" width="14.42578125" style="76" customWidth="1"/>
    <col min="10237" max="10237" width="14" style="76" customWidth="1"/>
    <col min="10238" max="10487" width="9.140625" style="76"/>
    <col min="10488" max="10488" width="17.42578125" style="76" customWidth="1"/>
    <col min="10489" max="10492" width="14.42578125" style="76" customWidth="1"/>
    <col min="10493" max="10493" width="14" style="76" customWidth="1"/>
    <col min="10494" max="10743" width="9.140625" style="76"/>
    <col min="10744" max="10744" width="17.42578125" style="76" customWidth="1"/>
    <col min="10745" max="10748" width="14.42578125" style="76" customWidth="1"/>
    <col min="10749" max="10749" width="14" style="76" customWidth="1"/>
    <col min="10750" max="10999" width="9.140625" style="76"/>
    <col min="11000" max="11000" width="17.42578125" style="76" customWidth="1"/>
    <col min="11001" max="11004" width="14.42578125" style="76" customWidth="1"/>
    <col min="11005" max="11005" width="14" style="76" customWidth="1"/>
    <col min="11006" max="11255" width="9.140625" style="76"/>
    <col min="11256" max="11256" width="17.42578125" style="76" customWidth="1"/>
    <col min="11257" max="11260" width="14.42578125" style="76" customWidth="1"/>
    <col min="11261" max="11261" width="14" style="76" customWidth="1"/>
    <col min="11262" max="11511" width="9.140625" style="76"/>
    <col min="11512" max="11512" width="17.42578125" style="76" customWidth="1"/>
    <col min="11513" max="11516" width="14.42578125" style="76" customWidth="1"/>
    <col min="11517" max="11517" width="14" style="76" customWidth="1"/>
    <col min="11518" max="11767" width="9.140625" style="76"/>
    <col min="11768" max="11768" width="17.42578125" style="76" customWidth="1"/>
    <col min="11769" max="11772" width="14.42578125" style="76" customWidth="1"/>
    <col min="11773" max="11773" width="14" style="76" customWidth="1"/>
    <col min="11774" max="12023" width="9.140625" style="76"/>
    <col min="12024" max="12024" width="17.42578125" style="76" customWidth="1"/>
    <col min="12025" max="12028" width="14.42578125" style="76" customWidth="1"/>
    <col min="12029" max="12029" width="14" style="76" customWidth="1"/>
    <col min="12030" max="12279" width="9.140625" style="76"/>
    <col min="12280" max="12280" width="17.42578125" style="76" customWidth="1"/>
    <col min="12281" max="12284" width="14.42578125" style="76" customWidth="1"/>
    <col min="12285" max="12285" width="14" style="76" customWidth="1"/>
    <col min="12286" max="12535" width="9.140625" style="76"/>
    <col min="12536" max="12536" width="17.42578125" style="76" customWidth="1"/>
    <col min="12537" max="12540" width="14.42578125" style="76" customWidth="1"/>
    <col min="12541" max="12541" width="14" style="76" customWidth="1"/>
    <col min="12542" max="12791" width="9.140625" style="76"/>
    <col min="12792" max="12792" width="17.42578125" style="76" customWidth="1"/>
    <col min="12793" max="12796" width="14.42578125" style="76" customWidth="1"/>
    <col min="12797" max="12797" width="14" style="76" customWidth="1"/>
    <col min="12798" max="13047" width="9.140625" style="76"/>
    <col min="13048" max="13048" width="17.42578125" style="76" customWidth="1"/>
    <col min="13049" max="13052" width="14.42578125" style="76" customWidth="1"/>
    <col min="13053" max="13053" width="14" style="76" customWidth="1"/>
    <col min="13054" max="13303" width="9.140625" style="76"/>
    <col min="13304" max="13304" width="17.42578125" style="76" customWidth="1"/>
    <col min="13305" max="13308" width="14.42578125" style="76" customWidth="1"/>
    <col min="13309" max="13309" width="14" style="76" customWidth="1"/>
    <col min="13310" max="13559" width="9.140625" style="76"/>
    <col min="13560" max="13560" width="17.42578125" style="76" customWidth="1"/>
    <col min="13561" max="13564" width="14.42578125" style="76" customWidth="1"/>
    <col min="13565" max="13565" width="14" style="76" customWidth="1"/>
    <col min="13566" max="13815" width="9.140625" style="76"/>
    <col min="13816" max="13816" width="17.42578125" style="76" customWidth="1"/>
    <col min="13817" max="13820" width="14.42578125" style="76" customWidth="1"/>
    <col min="13821" max="13821" width="14" style="76" customWidth="1"/>
    <col min="13822" max="14071" width="9.140625" style="76"/>
    <col min="14072" max="14072" width="17.42578125" style="76" customWidth="1"/>
    <col min="14073" max="14076" width="14.42578125" style="76" customWidth="1"/>
    <col min="14077" max="14077" width="14" style="76" customWidth="1"/>
    <col min="14078" max="14327" width="9.140625" style="76"/>
    <col min="14328" max="14328" width="17.42578125" style="76" customWidth="1"/>
    <col min="14329" max="14332" width="14.42578125" style="76" customWidth="1"/>
    <col min="14333" max="14333" width="14" style="76" customWidth="1"/>
    <col min="14334" max="14583" width="9.140625" style="76"/>
    <col min="14584" max="14584" width="17.42578125" style="76" customWidth="1"/>
    <col min="14585" max="14588" width="14.42578125" style="76" customWidth="1"/>
    <col min="14589" max="14589" width="14" style="76" customWidth="1"/>
    <col min="14590" max="14839" width="9.140625" style="76"/>
    <col min="14840" max="14840" width="17.42578125" style="76" customWidth="1"/>
    <col min="14841" max="14844" width="14.42578125" style="76" customWidth="1"/>
    <col min="14845" max="14845" width="14" style="76" customWidth="1"/>
    <col min="14846" max="15095" width="9.140625" style="76"/>
    <col min="15096" max="15096" width="17.42578125" style="76" customWidth="1"/>
    <col min="15097" max="15100" width="14.42578125" style="76" customWidth="1"/>
    <col min="15101" max="15101" width="14" style="76" customWidth="1"/>
    <col min="15102" max="15351" width="9.140625" style="76"/>
    <col min="15352" max="15352" width="17.42578125" style="76" customWidth="1"/>
    <col min="15353" max="15356" width="14.42578125" style="76" customWidth="1"/>
    <col min="15357" max="15357" width="14" style="76" customWidth="1"/>
    <col min="15358" max="15607" width="9.140625" style="76"/>
    <col min="15608" max="15608" width="17.42578125" style="76" customWidth="1"/>
    <col min="15609" max="15612" width="14.42578125" style="76" customWidth="1"/>
    <col min="15613" max="15613" width="14" style="76" customWidth="1"/>
    <col min="15614" max="15863" width="9.140625" style="76"/>
    <col min="15864" max="15864" width="17.42578125" style="76" customWidth="1"/>
    <col min="15865" max="15868" width="14.42578125" style="76" customWidth="1"/>
    <col min="15869" max="15869" width="14" style="76" customWidth="1"/>
    <col min="15870" max="16119" width="9.140625" style="76"/>
    <col min="16120" max="16120" width="17.42578125" style="76" customWidth="1"/>
    <col min="16121" max="16124" width="14.42578125" style="76" customWidth="1"/>
    <col min="16125" max="16125" width="14" style="76" customWidth="1"/>
    <col min="16126" max="16384" width="9.140625" style="76"/>
  </cols>
  <sheetData>
    <row r="1" spans="1:6" ht="51.75" thickBot="1" x14ac:dyDescent="0.25">
      <c r="A1" s="73" t="s">
        <v>107</v>
      </c>
      <c r="B1" s="73" t="s">
        <v>108</v>
      </c>
      <c r="C1" s="73" t="s">
        <v>109</v>
      </c>
      <c r="D1" s="73" t="s">
        <v>110</v>
      </c>
      <c r="E1" s="74" t="s">
        <v>111</v>
      </c>
      <c r="F1" s="75"/>
    </row>
    <row r="2" spans="1:6" x14ac:dyDescent="0.2">
      <c r="A2" s="77" t="s">
        <v>112</v>
      </c>
      <c r="B2" s="78">
        <v>39979.29</v>
      </c>
      <c r="C2" s="79">
        <f>ROUND(B2/12,2)</f>
        <v>3331.61</v>
      </c>
      <c r="D2" s="80">
        <v>0</v>
      </c>
      <c r="E2" s="132">
        <v>543.14</v>
      </c>
    </row>
    <row r="3" spans="1:6" x14ac:dyDescent="0.2">
      <c r="A3" s="77" t="s">
        <v>113</v>
      </c>
      <c r="B3" s="78">
        <v>39979.29</v>
      </c>
      <c r="C3" s="79">
        <f>ROUND(B3/12,2)</f>
        <v>3331.61</v>
      </c>
      <c r="D3" s="80">
        <v>0</v>
      </c>
      <c r="E3" s="132">
        <v>543.14</v>
      </c>
    </row>
    <row r="4" spans="1:6" x14ac:dyDescent="0.2">
      <c r="A4" s="77" t="s">
        <v>114</v>
      </c>
      <c r="B4" s="78">
        <v>31983.43</v>
      </c>
      <c r="C4" s="79">
        <f>ROUND(B4/12,2)</f>
        <v>2665.29</v>
      </c>
      <c r="D4" s="80">
        <v>0</v>
      </c>
      <c r="E4" s="132">
        <f>(B4+C4)*0.7%</f>
        <v>242.54103999999998</v>
      </c>
    </row>
    <row r="5" spans="1:6" x14ac:dyDescent="0.2">
      <c r="A5" s="77" t="s">
        <v>115</v>
      </c>
      <c r="B5" s="78">
        <v>39979.29</v>
      </c>
      <c r="C5" s="79">
        <v>3331.61</v>
      </c>
      <c r="D5" s="80">
        <v>0</v>
      </c>
      <c r="E5" s="132">
        <v>314.73</v>
      </c>
    </row>
    <row r="6" spans="1:6" x14ac:dyDescent="0.2">
      <c r="A6" s="127" t="s">
        <v>167</v>
      </c>
      <c r="B6" s="128">
        <v>23212.35</v>
      </c>
      <c r="C6" s="123">
        <f t="shared" ref="C6:C9" si="0">ROUND(B6/12,2)</f>
        <v>1934.36</v>
      </c>
      <c r="D6" s="124">
        <f t="shared" ref="D6" si="1">4.95*12</f>
        <v>59.400000000000006</v>
      </c>
      <c r="E6" s="125">
        <f>(B6+C6)*0.5%</f>
        <v>125.73354999999999</v>
      </c>
      <c r="F6" s="126"/>
    </row>
    <row r="7" spans="1:6" x14ac:dyDescent="0.2">
      <c r="A7" s="127" t="s">
        <v>168</v>
      </c>
      <c r="B7" s="122">
        <v>21392.87</v>
      </c>
      <c r="C7" s="123">
        <f t="shared" si="0"/>
        <v>1782.74</v>
      </c>
      <c r="D7" s="124">
        <f t="shared" ref="D7" si="2">4.34*12</f>
        <v>52.08</v>
      </c>
      <c r="E7" s="125">
        <f>(B7+C7)*0.5%</f>
        <v>115.87805</v>
      </c>
      <c r="F7" s="126"/>
    </row>
    <row r="8" spans="1:6" x14ac:dyDescent="0.2">
      <c r="A8" s="127" t="s">
        <v>169</v>
      </c>
      <c r="B8" s="128">
        <v>19034.509999999998</v>
      </c>
      <c r="C8" s="123">
        <f t="shared" si="0"/>
        <v>1586.21</v>
      </c>
      <c r="D8" s="124">
        <f t="shared" ref="D8" si="3">3.73*12</f>
        <v>44.76</v>
      </c>
      <c r="E8" s="125">
        <f>(B8+C8)*0.5%</f>
        <v>103.10359999999999</v>
      </c>
      <c r="F8" s="126"/>
    </row>
    <row r="9" spans="1:6" x14ac:dyDescent="0.2">
      <c r="A9" s="127" t="s">
        <v>170</v>
      </c>
      <c r="B9" s="122">
        <v>18044.37</v>
      </c>
      <c r="C9" s="123">
        <f t="shared" si="0"/>
        <v>1503.7</v>
      </c>
      <c r="D9" s="124">
        <f t="shared" ref="D9" si="4">3.09*12</f>
        <v>37.08</v>
      </c>
      <c r="E9" s="125">
        <f>(B9+C9)*0.5%</f>
        <v>97.740350000000007</v>
      </c>
      <c r="F9" s="126"/>
    </row>
    <row r="10" spans="1:6" x14ac:dyDescent="0.2">
      <c r="A10" s="129" t="s">
        <v>171</v>
      </c>
      <c r="B10" s="120">
        <v>0</v>
      </c>
      <c r="C10" s="120">
        <v>0</v>
      </c>
      <c r="D10" s="120">
        <v>0</v>
      </c>
      <c r="E10" s="120">
        <v>0</v>
      </c>
      <c r="F10" s="120">
        <v>0</v>
      </c>
    </row>
    <row r="11" spans="1:6" x14ac:dyDescent="0.2">
      <c r="A11" s="120"/>
      <c r="B11" s="121" t="s">
        <v>116</v>
      </c>
      <c r="C11" s="120"/>
      <c r="D11" s="120"/>
      <c r="E11" s="120"/>
      <c r="F11" s="120"/>
    </row>
    <row r="12" spans="1:6" x14ac:dyDescent="0.2">
      <c r="A12" s="120"/>
      <c r="B12" s="120"/>
      <c r="C12" s="120"/>
      <c r="D12" s="120"/>
      <c r="E12" s="120"/>
      <c r="F12" s="120"/>
    </row>
    <row r="13" spans="1:6" x14ac:dyDescent="0.2">
      <c r="A13" s="120"/>
      <c r="B13" s="121" t="s">
        <v>117</v>
      </c>
      <c r="C13" s="120">
        <v>3.09</v>
      </c>
      <c r="D13" s="120"/>
      <c r="E13" s="120"/>
      <c r="F13" s="120"/>
    </row>
    <row r="14" spans="1:6" x14ac:dyDescent="0.2">
      <c r="A14" s="120"/>
      <c r="B14" s="121" t="s">
        <v>118</v>
      </c>
      <c r="C14" s="120">
        <v>3.73</v>
      </c>
      <c r="D14" s="120"/>
      <c r="E14" s="120"/>
      <c r="F14" s="120"/>
    </row>
    <row r="15" spans="1:6" x14ac:dyDescent="0.2">
      <c r="A15" s="120"/>
      <c r="B15" s="121" t="s">
        <v>119</v>
      </c>
      <c r="C15" s="120">
        <v>4.34</v>
      </c>
      <c r="D15" s="120"/>
      <c r="E15" s="120"/>
      <c r="F15" s="120"/>
    </row>
    <row r="16" spans="1:6" x14ac:dyDescent="0.2">
      <c r="A16" s="120"/>
      <c r="B16" s="121" t="s">
        <v>82</v>
      </c>
      <c r="C16" s="120">
        <v>4.95</v>
      </c>
      <c r="D16" s="120"/>
      <c r="E16" s="120"/>
      <c r="F16" s="120"/>
    </row>
    <row r="17" spans="1:6" x14ac:dyDescent="0.2">
      <c r="A17" s="120"/>
      <c r="B17" s="120"/>
      <c r="C17" s="120"/>
      <c r="D17" s="120"/>
      <c r="E17" s="120"/>
      <c r="F17" s="120"/>
    </row>
    <row r="18" spans="1:6" x14ac:dyDescent="0.2">
      <c r="A18" s="120"/>
      <c r="B18" s="120"/>
      <c r="C18" s="120"/>
      <c r="D18" s="120"/>
      <c r="E18" s="120"/>
      <c r="F18" s="120"/>
    </row>
    <row r="19" spans="1:6" x14ac:dyDescent="0.2">
      <c r="A19" s="120"/>
      <c r="B19" s="120"/>
      <c r="C19" s="120"/>
      <c r="D19" s="120"/>
      <c r="E19" s="120"/>
      <c r="F19" s="120"/>
    </row>
    <row r="20" spans="1:6" x14ac:dyDescent="0.2">
      <c r="A20" s="120"/>
      <c r="B20" s="120"/>
      <c r="C20" s="120"/>
      <c r="D20" s="120"/>
      <c r="E20" s="120"/>
      <c r="F20" s="120"/>
    </row>
    <row r="21" spans="1:6" x14ac:dyDescent="0.2">
      <c r="A21" s="120"/>
      <c r="B21" s="120"/>
      <c r="C21" s="120"/>
      <c r="D21" s="120"/>
      <c r="E21" s="120"/>
      <c r="F21" s="120"/>
    </row>
    <row r="22" spans="1:6" x14ac:dyDescent="0.2">
      <c r="A22" s="120"/>
      <c r="B22" s="120"/>
      <c r="C22" s="120"/>
      <c r="D22" s="120"/>
      <c r="E22" s="120"/>
      <c r="F22" s="120"/>
    </row>
    <row r="23" spans="1:6" x14ac:dyDescent="0.2">
      <c r="A23" s="120"/>
      <c r="B23" s="120"/>
      <c r="C23" s="120"/>
      <c r="D23" s="120"/>
      <c r="E23" s="120"/>
      <c r="F23" s="120"/>
    </row>
    <row r="24" spans="1:6" x14ac:dyDescent="0.2">
      <c r="A24" s="120"/>
      <c r="B24" s="120"/>
      <c r="C24" s="120"/>
      <c r="D24" s="120"/>
      <c r="E24" s="120"/>
      <c r="F24" s="120"/>
    </row>
    <row r="25" spans="1:6" x14ac:dyDescent="0.2">
      <c r="A25" s="120"/>
      <c r="B25" s="120"/>
      <c r="C25" s="120"/>
      <c r="D25" s="120"/>
      <c r="E25" s="120"/>
      <c r="F25" s="120"/>
    </row>
    <row r="26" spans="1:6" x14ac:dyDescent="0.2">
      <c r="A26" s="120"/>
      <c r="B26" s="120"/>
      <c r="C26" s="120"/>
      <c r="D26" s="120"/>
      <c r="E26" s="120"/>
      <c r="F26" s="120"/>
    </row>
    <row r="27" spans="1:6" x14ac:dyDescent="0.2">
      <c r="A27" s="120"/>
      <c r="B27" s="120"/>
      <c r="C27" s="120"/>
      <c r="D27" s="120"/>
      <c r="E27" s="120"/>
      <c r="F27" s="120"/>
    </row>
    <row r="28" spans="1:6" x14ac:dyDescent="0.2">
      <c r="A28" s="120"/>
      <c r="B28" s="120"/>
      <c r="C28" s="120"/>
      <c r="D28" s="120"/>
      <c r="E28" s="120"/>
      <c r="F28" s="120"/>
    </row>
    <row r="29" spans="1:6" x14ac:dyDescent="0.2">
      <c r="A29" s="120"/>
      <c r="B29" s="120"/>
      <c r="C29" s="120"/>
      <c r="D29" s="120"/>
      <c r="E29" s="120"/>
      <c r="F29" s="120"/>
    </row>
    <row r="30" spans="1:6" x14ac:dyDescent="0.2">
      <c r="A30" s="120"/>
      <c r="B30" s="120"/>
      <c r="C30" s="120"/>
      <c r="D30" s="120"/>
      <c r="E30" s="120"/>
      <c r="F30" s="120"/>
    </row>
    <row r="31" spans="1:6" x14ac:dyDescent="0.2">
      <c r="A31" s="120"/>
      <c r="B31" s="120"/>
      <c r="C31" s="120"/>
      <c r="D31" s="120"/>
      <c r="E31" s="120"/>
      <c r="F31" s="120"/>
    </row>
    <row r="32" spans="1:6" x14ac:dyDescent="0.2">
      <c r="A32" s="120"/>
      <c r="B32" s="120"/>
      <c r="C32" s="120"/>
      <c r="D32" s="120"/>
      <c r="E32" s="120"/>
      <c r="F32" s="120"/>
    </row>
    <row r="33" spans="1:6" x14ac:dyDescent="0.2">
      <c r="A33" s="120"/>
      <c r="B33" s="120"/>
      <c r="C33" s="120"/>
      <c r="D33" s="120"/>
      <c r="E33" s="120"/>
      <c r="F33" s="120"/>
    </row>
    <row r="34" spans="1:6" x14ac:dyDescent="0.2">
      <c r="A34" s="120"/>
      <c r="B34" s="120"/>
      <c r="C34" s="120"/>
      <c r="D34" s="120"/>
      <c r="E34" s="120"/>
      <c r="F34" s="120"/>
    </row>
    <row r="35" spans="1:6" x14ac:dyDescent="0.2">
      <c r="A35" s="120"/>
      <c r="B35" s="120"/>
      <c r="C35" s="120"/>
      <c r="D35" s="120"/>
      <c r="E35" s="120"/>
      <c r="F35" s="120"/>
    </row>
    <row r="36" spans="1:6" x14ac:dyDescent="0.2">
      <c r="A36" s="120"/>
      <c r="B36" s="120"/>
      <c r="C36" s="120"/>
      <c r="D36" s="120"/>
      <c r="E36" s="120"/>
      <c r="F36" s="120"/>
    </row>
    <row r="37" spans="1:6" x14ac:dyDescent="0.2">
      <c r="A37" s="120"/>
      <c r="B37" s="120"/>
      <c r="C37" s="120"/>
      <c r="D37" s="120"/>
      <c r="E37" s="120"/>
      <c r="F37" s="120"/>
    </row>
    <row r="38" spans="1:6" x14ac:dyDescent="0.2">
      <c r="A38" s="120"/>
      <c r="B38" s="120"/>
      <c r="C38" s="120"/>
      <c r="D38" s="120"/>
      <c r="E38" s="120"/>
      <c r="F38" s="120"/>
    </row>
    <row r="39" spans="1:6" x14ac:dyDescent="0.2">
      <c r="A39" s="120"/>
      <c r="B39" s="120"/>
      <c r="C39" s="120"/>
      <c r="D39" s="120"/>
      <c r="E39" s="120"/>
      <c r="F39" s="120"/>
    </row>
    <row r="40" spans="1:6" x14ac:dyDescent="0.2">
      <c r="A40" s="120"/>
      <c r="B40" s="120"/>
      <c r="C40" s="120"/>
      <c r="D40" s="120"/>
      <c r="E40" s="120"/>
      <c r="F40" s="120"/>
    </row>
    <row r="41" spans="1:6" x14ac:dyDescent="0.2">
      <c r="A41" s="120"/>
      <c r="B41" s="120"/>
      <c r="C41" s="120"/>
      <c r="D41" s="120"/>
      <c r="E41" s="120"/>
      <c r="F41" s="120"/>
    </row>
    <row r="42" spans="1:6" x14ac:dyDescent="0.2">
      <c r="A42" s="120"/>
      <c r="B42" s="120"/>
      <c r="C42" s="120"/>
      <c r="D42" s="120"/>
      <c r="E42" s="120"/>
      <c r="F42" s="120"/>
    </row>
    <row r="43" spans="1:6" x14ac:dyDescent="0.2">
      <c r="A43" s="120"/>
      <c r="B43" s="120"/>
      <c r="C43" s="120"/>
      <c r="D43" s="120"/>
      <c r="E43" s="120"/>
      <c r="F43" s="120"/>
    </row>
    <row r="44" spans="1:6" x14ac:dyDescent="0.2">
      <c r="A44" s="120"/>
      <c r="B44" s="120"/>
      <c r="C44" s="120"/>
      <c r="D44" s="120"/>
      <c r="E44" s="120"/>
      <c r="F44" s="120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3</vt:i4>
      </vt:variant>
    </vt:vector>
  </HeadingPairs>
  <TitlesOfParts>
    <vt:vector size="11" baseType="lpstr">
      <vt:lpstr>Diff.pers.2018-corrente</vt:lpstr>
      <vt:lpstr>Calcolo capacità 2024</vt:lpstr>
      <vt:lpstr>Calcolo capacità 2025</vt:lpstr>
      <vt:lpstr>Calcolo capacità 2026</vt:lpstr>
      <vt:lpstr>Assunzioni TI dal 2020 - 2024</vt:lpstr>
      <vt:lpstr>Assunzioni TI dal 2020 - 2025</vt:lpstr>
      <vt:lpstr>Assunzioni TI dal 2020 - 2026</vt:lpstr>
      <vt:lpstr>Tabelle</vt:lpstr>
      <vt:lpstr>'Calcolo capacità 2024'!Area_stampa</vt:lpstr>
      <vt:lpstr>'Calcolo capacità 2025'!Area_stampa</vt:lpstr>
      <vt:lpstr>'Calcolo capacità 2026'!Area_stampa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</dc:creator>
  <cp:lastModifiedBy>Giancarlo Baldetti</cp:lastModifiedBy>
  <cp:lastPrinted>2022-04-05T07:31:36Z</cp:lastPrinted>
  <dcterms:created xsi:type="dcterms:W3CDTF">2020-05-03T19:13:44Z</dcterms:created>
  <dcterms:modified xsi:type="dcterms:W3CDTF">2024-02-29T11:02:36Z</dcterms:modified>
</cp:coreProperties>
</file>